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boozallen-my.sharepoint.us/personal/628915_bah_com/Documents/Documents/Templates/"/>
    </mc:Choice>
  </mc:AlternateContent>
  <xr:revisionPtr revIDLastSave="84" documentId="8_{46AD10F3-3363-427C-B52F-34B291D9D091}" xr6:coauthVersionLast="47" xr6:coauthVersionMax="47" xr10:uidLastSave="{1D14AB84-9A3F-4763-A49D-AC5F953EA5CE}"/>
  <bookViews>
    <workbookView xWindow="-25710" yWindow="-2430" windowWidth="25820" windowHeight="13900" tabRatio="804" xr2:uid="{00000000-000D-0000-FFFF-FFFF00000000}"/>
  </bookViews>
  <sheets>
    <sheet name="Customer Summary" sheetId="4" r:id="rId1"/>
    <sheet name="XX CES_610127_CE Admin" sheetId="11" r:id="rId2"/>
    <sheet name="XX CES_610913_Emergency Mgt" sheetId="19" r:id="rId3"/>
    <sheet name="XX CES_610119_Housing Mgt" sheetId="20" r:id="rId4"/>
    <sheet name="XX CES_140421_EOC" sheetId="37" r:id="rId5"/>
    <sheet name="XX CES_141165_EOD" sheetId="17" r:id="rId6"/>
    <sheet name="XX CES_219943_Pavements" sheetId="22" r:id="rId7"/>
    <sheet name="XX CES_219944_CE Shops" sheetId="23" r:id="rId8"/>
    <sheet name="XX CES_219946_CE Storage" sheetId="24" r:id="rId9"/>
    <sheet name="XX CES_442257_Hazardous Storage" sheetId="34" r:id="rId10"/>
    <sheet name="XX CES_442769_ Housing Storage" sheetId="28" r:id="rId11"/>
    <sheet name="XX CES_730142_Fire Station" sheetId="32" r:id="rId12"/>
    <sheet name="XX CES_141101_Airfield Fire Stn" sheetId="38" r:id="rId13"/>
    <sheet name="UMD" sheetId="2" r:id="rId14"/>
    <sheet name="Fire Station Worksheet" sheetId="33" r:id="rId15"/>
    <sheet name="Support Agreement" sheetId="16" r:id="rId16"/>
    <sheet name="Sheet References" sheetId="6" r:id="rId17"/>
    <sheet name="CatCodes FY26" sheetId="18" r:id="rId18"/>
  </sheets>
  <definedNames>
    <definedName name="_5_6_digit" localSheetId="17">#REF!</definedName>
    <definedName name="_5_6_digit">#REF!</definedName>
    <definedName name="_xlnm._FilterDatabase" localSheetId="17" hidden="1">'CatCodes FY26'!$A$1:$JC$1</definedName>
    <definedName name="_xlnm._FilterDatabase" localSheetId="0" hidden="1">'Customer Summary'!$G$3:$G$16</definedName>
    <definedName name="_xlnm._FilterDatabase" localSheetId="16" hidden="1">'Sheet References'!$A$13:$B$52</definedName>
    <definedName name="CATCode" localSheetId="4">'XX CES_140421_EOC'!$E$1</definedName>
    <definedName name="CATCode" localSheetId="12">'XX CES_141101_Airfield Fire Stn'!$E$1</definedName>
    <definedName name="CATCode" localSheetId="5">'XX CES_141165_EOD'!$E$1</definedName>
    <definedName name="CATCode" localSheetId="6">'XX CES_219943_Pavements'!$E$1</definedName>
    <definedName name="CATCode" localSheetId="7">'XX CES_219944_CE Shops'!$E$1</definedName>
    <definedName name="CATCode" localSheetId="8">'XX CES_219946_CE Storage'!$E$1</definedName>
    <definedName name="CATCode" localSheetId="9">'XX CES_442257_Hazardous Storage'!$E$1</definedName>
    <definedName name="CATCode" localSheetId="10">'XX CES_442769_ Housing Storage'!$E$1</definedName>
    <definedName name="CATCode" localSheetId="3">'XX CES_610119_Housing Mgt'!$E$1</definedName>
    <definedName name="CATCode" localSheetId="2">'XX CES_610913_Emergency Mgt'!$E$1</definedName>
    <definedName name="CATCode" localSheetId="11">'XX CES_730142_Fire Station'!$E$1</definedName>
    <definedName name="CATCode">'XX CES_610127_CE Admin'!$E$1</definedName>
    <definedName name="Ecat" localSheetId="17">#REF!</definedName>
    <definedName name="Ecat">#REF!</definedName>
    <definedName name="Ecat1" localSheetId="17">#REF!</definedName>
    <definedName name="Ecat1">#REF!</definedName>
    <definedName name="MB_5_6_digit_CC_export" localSheetId="17">#REF!</definedName>
    <definedName name="MB_5_6_digit_CC_export">#REF!</definedName>
    <definedName name="MB_latestorder">#REF!</definedName>
    <definedName name="NVMC_Lkup_UICs">#REF!</definedName>
    <definedName name="NVMC_lookup_UICs2">#REF!</definedName>
    <definedName name="_xlnm.Print_Area" localSheetId="15">'Support Agreement'!$A:$F</definedName>
    <definedName name="_xlnm.Print_Area" localSheetId="13">UMD!$A:$J</definedName>
    <definedName name="_xlnm.Print_Area" localSheetId="4">'XX CES_140421_EOC'!$A$1:$H$41</definedName>
    <definedName name="_xlnm.Print_Area" localSheetId="12">'XX CES_141101_Airfield Fire Stn'!$A$1:$H$10</definedName>
    <definedName name="_xlnm.Print_Area" localSheetId="5">'XX CES_141165_EOD'!$A$1:$H$50</definedName>
    <definedName name="_xlnm.Print_Area" localSheetId="6">'XX CES_219943_Pavements'!$A$1:$H$15</definedName>
    <definedName name="_xlnm.Print_Area" localSheetId="7">'XX CES_219944_CE Shops'!$A$1:$H$22</definedName>
    <definedName name="_xlnm.Print_Area" localSheetId="8">'XX CES_219946_CE Storage'!$A$1:$H$24</definedName>
    <definedName name="_xlnm.Print_Area" localSheetId="9">'XX CES_442257_Hazardous Storage'!$A$1:$H$17</definedName>
    <definedName name="_xlnm.Print_Area" localSheetId="10">'XX CES_442769_ Housing Storage'!$A$1:$H$33</definedName>
    <definedName name="_xlnm.Print_Area" localSheetId="3">'XX CES_610119_Housing Mgt'!$A$1:$H$46</definedName>
    <definedName name="_xlnm.Print_Area" localSheetId="1">'XX CES_610127_CE Admin'!$A$1:$H$59</definedName>
    <definedName name="_xlnm.Print_Area" localSheetId="2">'XX CES_610913_Emergency Mgt'!$A$1:$H$47</definedName>
    <definedName name="_xlnm.Print_Area" localSheetId="11">'XX CES_730142_Fire Station'!$A$1:$H$10</definedName>
    <definedName name="_xlnm.Print_Titles" localSheetId="15">'Support Agreement'!$1:$4</definedName>
    <definedName name="_xlnm.Print_Titles" localSheetId="13">UMD!$6:$6</definedName>
    <definedName name="SF_FACS" localSheetId="17">#REF!</definedName>
    <definedName name="SF_FACS">#REF!</definedName>
    <definedName name="SF_FACs2" localSheetId="17">#REF!</definedName>
    <definedName name="SF_FACs2">#REF!</definedName>
    <definedName name="Sort_Service" localSheetId="17">#REF!</definedName>
    <definedName name="Sort_Service">#REF!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1" l="1"/>
  <c r="B5" i="4"/>
  <c r="B6" i="4"/>
  <c r="B7" i="4"/>
  <c r="B8" i="4"/>
  <c r="B9" i="4"/>
  <c r="B10" i="4"/>
  <c r="B11" i="4"/>
  <c r="B12" i="4"/>
  <c r="B13" i="4"/>
  <c r="B14" i="4"/>
  <c r="B15" i="4"/>
  <c r="B4" i="4"/>
  <c r="E17" i="28"/>
  <c r="E16" i="28"/>
  <c r="E15" i="28"/>
  <c r="E21" i="17"/>
  <c r="E23" i="37"/>
  <c r="E22" i="37"/>
  <c r="E29" i="20"/>
  <c r="E28" i="20"/>
  <c r="E27" i="20"/>
  <c r="E26" i="20"/>
  <c r="E25" i="20"/>
  <c r="E26" i="19"/>
  <c r="E25" i="19"/>
  <c r="E24" i="19"/>
  <c r="E23" i="19"/>
  <c r="E22" i="19"/>
  <c r="E9" i="28"/>
  <c r="E19" i="20"/>
  <c r="E18" i="20"/>
  <c r="C9" i="28"/>
  <c r="C8" i="28"/>
  <c r="E8" i="28" s="1"/>
  <c r="C15" i="17"/>
  <c r="E15" i="17" s="1"/>
  <c r="C14" i="17"/>
  <c r="E14" i="17" s="1"/>
  <c r="C16" i="37"/>
  <c r="E16" i="37" s="1"/>
  <c r="C15" i="37"/>
  <c r="E15" i="37" s="1"/>
  <c r="C14" i="37"/>
  <c r="E14" i="37" s="1"/>
  <c r="C19" i="20"/>
  <c r="C18" i="20"/>
  <c r="C17" i="20"/>
  <c r="E17" i="20" s="1"/>
  <c r="E8" i="37"/>
  <c r="E10" i="20"/>
  <c r="C16" i="19"/>
  <c r="E16" i="19" s="1"/>
  <c r="C15" i="19"/>
  <c r="E15" i="19" s="1"/>
  <c r="C14" i="19"/>
  <c r="E14" i="19" s="1"/>
  <c r="E8" i="19"/>
  <c r="E32" i="11"/>
  <c r="E34" i="11"/>
  <c r="E35" i="11"/>
  <c r="E36" i="11"/>
  <c r="E37" i="11"/>
  <c r="E38" i="11"/>
  <c r="E39" i="11"/>
  <c r="E33" i="11"/>
  <c r="E31" i="11"/>
  <c r="C25" i="11"/>
  <c r="E25" i="11" s="1"/>
  <c r="C24" i="11"/>
  <c r="C23" i="11"/>
  <c r="E23" i="11" s="1"/>
  <c r="C22" i="11"/>
  <c r="E22" i="11" s="1"/>
  <c r="C21" i="11"/>
  <c r="E21" i="11" s="1"/>
  <c r="C20" i="11"/>
  <c r="E20" i="11" s="1"/>
  <c r="C19" i="11"/>
  <c r="E19" i="11" s="1"/>
  <c r="E24" i="11"/>
  <c r="C8" i="17"/>
  <c r="E8" i="17" s="1"/>
  <c r="C8" i="37"/>
  <c r="C11" i="20"/>
  <c r="E11" i="20" s="1"/>
  <c r="C10" i="20"/>
  <c r="C9" i="20"/>
  <c r="E9" i="20" s="1"/>
  <c r="C8" i="20"/>
  <c r="E8" i="20" s="1"/>
  <c r="C8" i="19"/>
  <c r="C13" i="11" l="1"/>
  <c r="E13" i="11" s="1"/>
  <c r="C12" i="11"/>
  <c r="E12" i="11" s="1"/>
  <c r="C11" i="11"/>
  <c r="E11" i="11" s="1"/>
  <c r="C10" i="11"/>
  <c r="E10" i="11" s="1"/>
  <c r="C9" i="11"/>
  <c r="E9" i="11" s="1"/>
  <c r="C8" i="11"/>
  <c r="E8" i="11" s="1"/>
  <c r="E2" i="24"/>
  <c r="E2" i="34"/>
  <c r="E2" i="28"/>
  <c r="E2" i="32"/>
  <c r="E2" i="38"/>
  <c r="A5" i="38"/>
  <c r="E4" i="38"/>
  <c r="E3" i="38"/>
  <c r="E3" i="11"/>
  <c r="E3" i="22"/>
  <c r="G33" i="37" l="1"/>
  <c r="G32" i="37"/>
  <c r="G31" i="37"/>
  <c r="G30" i="37"/>
  <c r="G29" i="37"/>
  <c r="F17" i="37"/>
  <c r="G16" i="37"/>
  <c r="G15" i="37"/>
  <c r="G14" i="37"/>
  <c r="F9" i="37"/>
  <c r="G8" i="37"/>
  <c r="A5" i="37"/>
  <c r="E4" i="37"/>
  <c r="E3" i="37"/>
  <c r="E2" i="37"/>
  <c r="F22" i="37" l="1"/>
  <c r="G22" i="37" s="1"/>
  <c r="G34" i="37"/>
  <c r="G35" i="37" s="1"/>
  <c r="G36" i="37" s="1"/>
  <c r="G9" i="37"/>
  <c r="G10" i="37" s="1"/>
  <c r="G11" i="37" s="1"/>
  <c r="G17" i="37"/>
  <c r="G18" i="37" s="1"/>
  <c r="G19" i="37" s="1"/>
  <c r="F23" i="37"/>
  <c r="G23" i="37" s="1"/>
  <c r="G24" i="37" l="1"/>
  <c r="G25" i="37" l="1"/>
  <c r="G26" i="37" s="1"/>
  <c r="G39" i="37" s="1"/>
  <c r="G40" i="37" l="1"/>
  <c r="G41" i="37" s="1"/>
  <c r="C7" i="4" s="1"/>
  <c r="G25" i="28" l="1"/>
  <c r="G24" i="28"/>
  <c r="G23" i="28"/>
  <c r="G8" i="34"/>
  <c r="G10" i="34" s="1"/>
  <c r="G11" i="34" s="1"/>
  <c r="G12" i="34" s="1"/>
  <c r="G15" i="34" s="1"/>
  <c r="G25" i="19"/>
  <c r="G39" i="17"/>
  <c r="G40" i="17"/>
  <c r="G22" i="17"/>
  <c r="G38" i="17"/>
  <c r="G37" i="17"/>
  <c r="G36" i="17"/>
  <c r="G42" i="17"/>
  <c r="A5" i="34"/>
  <c r="E4" i="34"/>
  <c r="E3" i="34"/>
  <c r="E17" i="24"/>
  <c r="G17" i="24" s="1"/>
  <c r="G10" i="20"/>
  <c r="G9" i="20"/>
  <c r="G37" i="19"/>
  <c r="G36" i="19"/>
  <c r="G35" i="19"/>
  <c r="G34" i="19"/>
  <c r="G33" i="19"/>
  <c r="G32" i="19"/>
  <c r="G23" i="11"/>
  <c r="G15" i="23"/>
  <c r="E15" i="24" s="1"/>
  <c r="G8" i="22"/>
  <c r="G10" i="22" s="1"/>
  <c r="G135" i="33"/>
  <c r="G118" i="33"/>
  <c r="G104" i="33" a="1"/>
  <c r="G104" i="33" s="1"/>
  <c r="G100" i="33" a="1"/>
  <c r="G100" i="33" s="1"/>
  <c r="G98" i="33" a="1"/>
  <c r="G98" i="33" s="1"/>
  <c r="G58" i="33" a="1"/>
  <c r="G58" i="33" s="1"/>
  <c r="G131" i="33"/>
  <c r="G133" i="33"/>
  <c r="G141" i="33"/>
  <c r="G143" i="33"/>
  <c r="G139" i="33"/>
  <c r="G137" i="33"/>
  <c r="G175" i="33"/>
  <c r="B17" i="33"/>
  <c r="B16" i="33"/>
  <c r="M20" i="33"/>
  <c r="D12" i="33"/>
  <c r="D183" i="33"/>
  <c r="B183" i="33"/>
  <c r="A167" i="33"/>
  <c r="J165" i="33"/>
  <c r="J164" i="33"/>
  <c r="J163" i="33"/>
  <c r="A111" i="33"/>
  <c r="A86" i="33"/>
  <c r="J40" i="33"/>
  <c r="A36" i="33"/>
  <c r="A27" i="33"/>
  <c r="F25" i="33"/>
  <c r="B23" i="33"/>
  <c r="B22" i="33"/>
  <c r="L20" i="33"/>
  <c r="B20" i="33"/>
  <c r="M16" i="33"/>
  <c r="B18" i="33" s="1"/>
  <c r="L16" i="33"/>
  <c r="A14" i="33"/>
  <c r="B12" i="33"/>
  <c r="A11" i="33"/>
  <c r="B9" i="33"/>
  <c r="A8" i="33"/>
  <c r="A3" i="33"/>
  <c r="E16" i="24" l="1"/>
  <c r="G16" i="24" s="1"/>
  <c r="F20" i="33"/>
  <c r="G25" i="33" s="1"/>
  <c r="G34" i="33" l="1"/>
  <c r="G149" i="33" s="1" a="1"/>
  <c r="G149" i="33" s="1"/>
  <c r="F21" i="33"/>
  <c r="F34" i="33"/>
  <c r="D27" i="33"/>
  <c r="B33" i="33"/>
  <c r="B30" i="33"/>
  <c r="D30" i="33" s="1"/>
  <c r="D32" i="33"/>
  <c r="J29" i="33"/>
  <c r="B32" i="33"/>
  <c r="B31" i="33"/>
  <c r="D31" i="33" s="1"/>
  <c r="J31" i="33"/>
  <c r="B29" i="33"/>
  <c r="D29" i="33" s="1"/>
  <c r="J28" i="33"/>
  <c r="J30" i="33"/>
  <c r="B28" i="33"/>
  <c r="D28" i="33" s="1"/>
  <c r="G16" i="34" l="1"/>
  <c r="G17" i="34" s="1"/>
  <c r="C12" i="4" s="1"/>
  <c r="G106" i="33"/>
  <c r="F106" i="33" s="1"/>
  <c r="G108" i="33"/>
  <c r="F108" i="33" s="1"/>
  <c r="B142" i="33"/>
  <c r="B140" i="33"/>
  <c r="B134" i="33"/>
  <c r="B132" i="33"/>
  <c r="B63" i="33"/>
  <c r="B66" i="33"/>
  <c r="B52" i="33"/>
  <c r="B49" i="33"/>
  <c r="B116" i="33"/>
  <c r="B46" i="33"/>
  <c r="G92" i="33"/>
  <c r="F92" i="33" s="1"/>
  <c r="G102" i="33"/>
  <c r="F102" i="33" s="1"/>
  <c r="G113" i="33"/>
  <c r="F113" i="33" s="1"/>
  <c r="G43" i="33"/>
  <c r="F43" i="33" s="1"/>
  <c r="G88" i="33"/>
  <c r="F88" i="33" s="1"/>
  <c r="G68" i="33"/>
  <c r="G81" i="33"/>
  <c r="F81" i="33" s="1"/>
  <c r="G60" i="33"/>
  <c r="F60" i="33" s="1"/>
  <c r="G79" i="33"/>
  <c r="F79" i="33" s="1"/>
  <c r="G56" i="33"/>
  <c r="F56" i="33" s="1"/>
  <c r="G75" i="33"/>
  <c r="F75" i="33" s="1"/>
  <c r="G77" i="33"/>
  <c r="F77" i="33" s="1"/>
  <c r="G54" i="33"/>
  <c r="F54" i="33" s="1"/>
  <c r="G73" i="33"/>
  <c r="F73" i="33" s="1"/>
  <c r="G169" i="33"/>
  <c r="G152" i="33"/>
  <c r="F152" i="33" s="1"/>
  <c r="G157" i="33"/>
  <c r="F157" i="33" s="1"/>
  <c r="G163" i="33"/>
  <c r="F163" i="33" s="1"/>
  <c r="G159" i="33"/>
  <c r="F159" i="33" s="1"/>
  <c r="G161" i="33"/>
  <c r="F161" i="33" s="1"/>
  <c r="G155" i="33"/>
  <c r="F155" i="33" s="1"/>
  <c r="B146" i="33"/>
  <c r="F137" i="33"/>
  <c r="F133" i="33"/>
  <c r="B94" i="33"/>
  <c r="B88" i="33"/>
  <c r="B79" i="33"/>
  <c r="F58" i="33"/>
  <c r="G48" i="33"/>
  <c r="F48" i="33" s="1"/>
  <c r="B45" i="33"/>
  <c r="G45" i="33"/>
  <c r="F45" i="33" s="1"/>
  <c r="B106" i="33"/>
  <c r="B96" i="33"/>
  <c r="B41" i="33"/>
  <c r="B189" i="33"/>
  <c r="B161" i="33"/>
  <c r="F149" i="33"/>
  <c r="F141" i="33"/>
  <c r="G115" i="33"/>
  <c r="B126" i="33" s="1"/>
  <c r="B100" i="33"/>
  <c r="B73" i="33"/>
  <c r="G62" i="33"/>
  <c r="F62" i="33" s="1"/>
  <c r="B54" i="33"/>
  <c r="F143" i="33"/>
  <c r="B190" i="33"/>
  <c r="B104" i="33"/>
  <c r="F98" i="33"/>
  <c r="B83" i="33"/>
  <c r="B68" i="33"/>
  <c r="B40" i="33"/>
  <c r="B158" i="33"/>
  <c r="B98" i="33"/>
  <c r="B38" i="33"/>
  <c r="F100" i="33"/>
  <c r="B75" i="33"/>
  <c r="B56" i="33"/>
  <c r="B136" i="33"/>
  <c r="F123" i="33"/>
  <c r="B108" i="33"/>
  <c r="B77" i="33"/>
  <c r="B58" i="33"/>
  <c r="G51" i="33"/>
  <c r="F51" i="33" s="1"/>
  <c r="B48" i="33"/>
  <c r="B43" i="33"/>
  <c r="F139" i="33"/>
  <c r="B192" i="33"/>
  <c r="F135" i="33"/>
  <c r="F131" i="33"/>
  <c r="F118" i="33"/>
  <c r="B92" i="33"/>
  <c r="B71" i="33"/>
  <c r="G65" i="33"/>
  <c r="F65" i="33" s="1"/>
  <c r="B62" i="33"/>
  <c r="J41" i="33"/>
  <c r="G40" i="33" s="1"/>
  <c r="B191" i="33"/>
  <c r="B102" i="33"/>
  <c r="B51" i="33"/>
  <c r="F104" i="33"/>
  <c r="B95" i="33"/>
  <c r="B70" i="33"/>
  <c r="B65" i="33"/>
  <c r="B60" i="33"/>
  <c r="B90" i="33"/>
  <c r="G38" i="33"/>
  <c r="G116" i="33" l="1"/>
  <c r="G126" i="33"/>
  <c r="B129" i="33"/>
  <c r="G121" i="33"/>
  <c r="G129" i="33"/>
  <c r="B121" i="33"/>
  <c r="G70" i="33"/>
  <c r="F70" i="33" s="1"/>
  <c r="G71" i="33"/>
  <c r="F71" i="33" s="1"/>
  <c r="G173" i="33"/>
  <c r="F173" i="33" s="1"/>
  <c r="G172" i="33"/>
  <c r="F172" i="33" s="1"/>
  <c r="G171" i="33"/>
  <c r="F171" i="33" s="1"/>
  <c r="F38" i="33"/>
  <c r="G125" i="33"/>
  <c r="F125" i="33" s="1"/>
  <c r="G120" i="33"/>
  <c r="F120" i="33" s="1"/>
  <c r="G128" i="33"/>
  <c r="F128" i="33" s="1"/>
  <c r="F115" i="33"/>
  <c r="F145" i="33"/>
  <c r="F147" i="33"/>
  <c r="F40" i="33"/>
  <c r="J193" i="33"/>
  <c r="F169" i="33"/>
  <c r="F175" i="33"/>
  <c r="F68" i="33"/>
  <c r="B193" i="33" l="1"/>
  <c r="G181" i="33"/>
  <c r="G183" i="33" l="1"/>
  <c r="F181" i="33"/>
  <c r="F183" i="33" l="1"/>
  <c r="F189" i="33" s="1"/>
  <c r="G189" i="33"/>
  <c r="E8" i="38" s="1"/>
  <c r="G8" i="38" s="1"/>
  <c r="G10" i="38" s="1"/>
  <c r="C15" i="4" s="1"/>
  <c r="E8" i="32" l="1"/>
  <c r="G29" i="20" l="1"/>
  <c r="F14" i="11"/>
  <c r="F26" i="11"/>
  <c r="F32" i="11" l="1"/>
  <c r="G32" i="11" s="1"/>
  <c r="G17" i="28"/>
  <c r="F10" i="28"/>
  <c r="F16" i="28" s="1"/>
  <c r="G9" i="28"/>
  <c r="G8" i="28"/>
  <c r="A5" i="32"/>
  <c r="E4" i="32"/>
  <c r="E3" i="32"/>
  <c r="F15" i="28" l="1"/>
  <c r="G15" i="28" s="1"/>
  <c r="G10" i="28"/>
  <c r="G11" i="28" s="1"/>
  <c r="G12" i="28" s="1"/>
  <c r="G16" i="28"/>
  <c r="F20" i="20"/>
  <c r="F12" i="20"/>
  <c r="G38" i="20"/>
  <c r="G37" i="20"/>
  <c r="G35" i="20"/>
  <c r="G19" i="20"/>
  <c r="G18" i="20"/>
  <c r="G11" i="20"/>
  <c r="F17" i="19"/>
  <c r="G18" i="24"/>
  <c r="G9" i="23"/>
  <c r="E9" i="24" s="1"/>
  <c r="G9" i="24" s="1"/>
  <c r="G10" i="23"/>
  <c r="E10" i="24" s="1"/>
  <c r="G10" i="24" s="1"/>
  <c r="G11" i="23"/>
  <c r="E11" i="24" s="1"/>
  <c r="G11" i="24" s="1"/>
  <c r="G12" i="23"/>
  <c r="E12" i="24" s="1"/>
  <c r="G12" i="24" s="1"/>
  <c r="G13" i="23"/>
  <c r="E13" i="24" s="1"/>
  <c r="G13" i="24" s="1"/>
  <c r="G14" i="23"/>
  <c r="E14" i="24" s="1"/>
  <c r="G14" i="24" s="1"/>
  <c r="G15" i="24"/>
  <c r="G8" i="23"/>
  <c r="E8" i="24" s="1"/>
  <c r="G8" i="24" s="1"/>
  <c r="A5" i="28"/>
  <c r="E4" i="28"/>
  <c r="E3" i="28"/>
  <c r="G39" i="20" l="1"/>
  <c r="G17" i="23"/>
  <c r="G20" i="23" s="1"/>
  <c r="G18" i="28"/>
  <c r="G19" i="28" s="1"/>
  <c r="G20" i="28" s="1"/>
  <c r="G26" i="28"/>
  <c r="G27" i="28" s="1"/>
  <c r="G28" i="28" s="1"/>
  <c r="G19" i="24"/>
  <c r="G22" i="24" s="1"/>
  <c r="G31" i="28" l="1"/>
  <c r="G32" i="28" s="1"/>
  <c r="G33" i="28" s="1"/>
  <c r="C13" i="4" s="1"/>
  <c r="G8" i="32" l="1"/>
  <c r="G10" i="32" s="1"/>
  <c r="C14" i="4" s="1"/>
  <c r="G28" i="20" l="1"/>
  <c r="A5" i="24"/>
  <c r="E4" i="24"/>
  <c r="E3" i="24"/>
  <c r="A5" i="23"/>
  <c r="E4" i="23"/>
  <c r="E3" i="23"/>
  <c r="E2" i="23"/>
  <c r="A5" i="22"/>
  <c r="E4" i="22"/>
  <c r="E2" i="22"/>
  <c r="G13" i="22" l="1"/>
  <c r="G27" i="20" l="1"/>
  <c r="G17" i="20"/>
  <c r="G8" i="20"/>
  <c r="A5" i="20"/>
  <c r="E4" i="20"/>
  <c r="E3" i="20"/>
  <c r="E2" i="20"/>
  <c r="G39" i="19"/>
  <c r="G38" i="19"/>
  <c r="G26" i="19"/>
  <c r="G16" i="19"/>
  <c r="G15" i="19"/>
  <c r="G14" i="19"/>
  <c r="F9" i="19"/>
  <c r="G8" i="19"/>
  <c r="G9" i="19" s="1"/>
  <c r="G10" i="19" s="1"/>
  <c r="G11" i="19" s="1"/>
  <c r="A5" i="19"/>
  <c r="E4" i="19"/>
  <c r="E3" i="19"/>
  <c r="E2" i="19"/>
  <c r="G41" i="17"/>
  <c r="G35" i="17"/>
  <c r="G34" i="17"/>
  <c r="G33" i="17"/>
  <c r="G32" i="17"/>
  <c r="G31" i="17"/>
  <c r="G30" i="17"/>
  <c r="G29" i="17"/>
  <c r="G28" i="17"/>
  <c r="G13" i="11"/>
  <c r="E2" i="17"/>
  <c r="G39" i="11"/>
  <c r="G51" i="11"/>
  <c r="G50" i="11"/>
  <c r="G22" i="11"/>
  <c r="G21" i="11"/>
  <c r="G36" i="11"/>
  <c r="G35" i="11"/>
  <c r="G38" i="11"/>
  <c r="G37" i="11"/>
  <c r="G34" i="11"/>
  <c r="G47" i="11"/>
  <c r="G46" i="11"/>
  <c r="G25" i="11"/>
  <c r="D11" i="16"/>
  <c r="G43" i="17" l="1"/>
  <c r="G12" i="20"/>
  <c r="G13" i="20" s="1"/>
  <c r="G14" i="20" s="1"/>
  <c r="G17" i="19"/>
  <c r="G18" i="19" s="1"/>
  <c r="G19" i="19" s="1"/>
  <c r="G40" i="19"/>
  <c r="G20" i="20"/>
  <c r="G21" i="20" s="1"/>
  <c r="G22" i="20" s="1"/>
  <c r="G40" i="20"/>
  <c r="G41" i="20" s="1"/>
  <c r="F26" i="20"/>
  <c r="G26" i="20" s="1"/>
  <c r="F25" i="20"/>
  <c r="G25" i="20" s="1"/>
  <c r="G23" i="24"/>
  <c r="G24" i="24" s="1"/>
  <c r="C11" i="4" s="1"/>
  <c r="G21" i="23"/>
  <c r="G22" i="23" s="1"/>
  <c r="G14" i="22"/>
  <c r="G15" i="22" s="1"/>
  <c r="C9" i="4" s="1"/>
  <c r="F24" i="19"/>
  <c r="G24" i="19" s="1"/>
  <c r="F23" i="19"/>
  <c r="G23" i="19" s="1"/>
  <c r="F22" i="19"/>
  <c r="G22" i="19" s="1"/>
  <c r="G15" i="17"/>
  <c r="G14" i="17"/>
  <c r="F9" i="17"/>
  <c r="G8" i="17"/>
  <c r="A5" i="17"/>
  <c r="E4" i="17"/>
  <c r="E3" i="17"/>
  <c r="C10" i="4" l="1"/>
  <c r="G24" i="23"/>
  <c r="G30" i="20"/>
  <c r="G31" i="20" s="1"/>
  <c r="G32" i="20" s="1"/>
  <c r="G44" i="20" s="1"/>
  <c r="G27" i="19"/>
  <c r="G28" i="19" s="1"/>
  <c r="G29" i="19" s="1"/>
  <c r="G41" i="19"/>
  <c r="G42" i="19" s="1"/>
  <c r="G44" i="17"/>
  <c r="G45" i="17" s="1"/>
  <c r="G9" i="17"/>
  <c r="G10" i="17" s="1"/>
  <c r="G11" i="17" s="1"/>
  <c r="G45" i="20" l="1"/>
  <c r="G46" i="20" s="1"/>
  <c r="C6" i="4" s="1"/>
  <c r="G45" i="19"/>
  <c r="G46" i="19" s="1"/>
  <c r="G47" i="19" s="1"/>
  <c r="C5" i="4" s="1"/>
  <c r="E19" i="16"/>
  <c r="A2" i="16"/>
  <c r="A1" i="16"/>
  <c r="C7" i="16"/>
  <c r="A6" i="16"/>
  <c r="A7" i="16" s="1"/>
  <c r="A8" i="16" s="1"/>
  <c r="A9" i="16" s="1"/>
  <c r="A10" i="16" s="1"/>
  <c r="A11" i="16" s="1"/>
  <c r="E4" i="11"/>
  <c r="A5" i="2"/>
  <c r="A5" i="11"/>
  <c r="G16" i="17" l="1"/>
  <c r="G17" i="17" s="1"/>
  <c r="G18" i="17" s="1"/>
  <c r="F16" i="17"/>
  <c r="F21" i="17" l="1"/>
  <c r="G21" i="17" s="1"/>
  <c r="G23" i="17" l="1"/>
  <c r="G24" i="17" s="1"/>
  <c r="G25" i="17" s="1"/>
  <c r="G48" i="17" s="1"/>
  <c r="G49" i="17" s="1"/>
  <c r="G50" i="17" s="1"/>
  <c r="C8" i="4" s="1"/>
  <c r="G45" i="11" l="1"/>
  <c r="F33" i="11" l="1"/>
  <c r="G24" i="11"/>
  <c r="G20" i="11"/>
  <c r="G19" i="11"/>
  <c r="G26" i="11" s="1"/>
  <c r="F31" i="11"/>
  <c r="G31" i="11" s="1"/>
  <c r="G27" i="11" l="1"/>
  <c r="G28" i="11" s="1"/>
  <c r="G33" i="11"/>
  <c r="G40" i="11" s="1"/>
  <c r="G48" i="11" l="1"/>
  <c r="G49" i="11"/>
  <c r="G52" i="11" l="1"/>
  <c r="G41" i="11" l="1"/>
  <c r="G42" i="11" s="1"/>
  <c r="G9" i="11" l="1"/>
  <c r="G10" i="11"/>
  <c r="G11" i="11"/>
  <c r="G8" i="11"/>
  <c r="G12" i="11"/>
  <c r="G53" i="11"/>
  <c r="G54" i="11" s="1"/>
  <c r="G14" i="11" l="1"/>
  <c r="G15" i="11" s="1"/>
  <c r="G16" i="11" s="1"/>
  <c r="G57" i="11" s="1"/>
  <c r="G58" i="11" l="1"/>
  <c r="G59" i="11" s="1"/>
  <c r="C4" i="4" s="1"/>
  <c r="C1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author>
  </authors>
  <commentList>
    <comment ref="C22" authorId="0" shapeId="0" xr:uid="{23111DBC-8299-4677-858D-F95109FB90FB}">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<sst xmlns="http://schemas.openxmlformats.org/spreadsheetml/2006/main" count="16872" uniqueCount="5498">
  <si>
    <t>CUSTOMER AUTHORIZATION WORKBOOK</t>
  </si>
  <si>
    <t>Total SF Authorized</t>
  </si>
  <si>
    <t>CATCODE #</t>
  </si>
  <si>
    <t>CATCODE TITLE</t>
  </si>
  <si>
    <t xml:space="preserve"> All CATCODE sum</t>
  </si>
  <si>
    <t>Interview and Workbook Preparation</t>
  </si>
  <si>
    <t>Interview / Walkthrough date:</t>
  </si>
  <si>
    <t>Customer Representative:</t>
  </si>
  <si>
    <t>CES Representative:</t>
  </si>
  <si>
    <t>Workbook Preparation date:</t>
  </si>
  <si>
    <t>Workbook Preparer:</t>
  </si>
  <si>
    <t>CUI Category: OPSEC</t>
  </si>
  <si>
    <t>Limited Dissemination Control: NONE</t>
  </si>
  <si>
    <t>POC: [CE unit designation (i.e. 99 CES)]</t>
  </si>
  <si>
    <t>Controlled by:  USAF</t>
  </si>
  <si>
    <t>CATCODE:</t>
  </si>
  <si>
    <t>CATCODE Title:</t>
  </si>
  <si>
    <t>WBDG Reference Link:</t>
  </si>
  <si>
    <t>BLDG(S):</t>
  </si>
  <si>
    <t>UMD Ref #</t>
  </si>
  <si>
    <t>Position Description</t>
  </si>
  <si>
    <t>Rank / Position Type</t>
  </si>
  <si>
    <t>Office Type</t>
  </si>
  <si>
    <t>Grade</t>
  </si>
  <si>
    <t>SF Auth / No.</t>
  </si>
  <si>
    <t>No.</t>
  </si>
  <si>
    <t>Total Auth</t>
  </si>
  <si>
    <r>
      <rPr>
        <b/>
        <sz val="12"/>
        <color theme="0"/>
        <rFont val="Calibri"/>
        <family val="2"/>
        <scheme val="minor"/>
      </rPr>
      <t xml:space="preserve">LINK: </t>
    </r>
    <r>
      <rPr>
        <b/>
        <u/>
        <sz val="12"/>
        <color theme="0"/>
        <rFont val="Calibri"/>
        <family val="2"/>
        <scheme val="minor"/>
      </rPr>
      <t>WBDG - AFMAN 32-1084</t>
    </r>
  </si>
  <si>
    <t>Administrative Private Office Space</t>
  </si>
  <si>
    <t>Criteria for these positions is in AFMAN 32-1084, Category Group 61, Administrative Facility Overview</t>
  </si>
  <si>
    <t>Commander</t>
  </si>
  <si>
    <t>Commander: Squadron</t>
  </si>
  <si>
    <t>Grades</t>
  </si>
  <si>
    <t>Deputy</t>
  </si>
  <si>
    <t>Commander: Squadron Deputy</t>
  </si>
  <si>
    <t>First Sergeant</t>
  </si>
  <si>
    <t>CEM</t>
  </si>
  <si>
    <t>Flight Chiefs</t>
  </si>
  <si>
    <t>Flight CC (Non-G-Series)</t>
  </si>
  <si>
    <t>Flight Chiefs (CEI, CEN, CEO)</t>
  </si>
  <si>
    <t>CEO Deputy</t>
  </si>
  <si>
    <t xml:space="preserve">Subtotal Private Office Space </t>
  </si>
  <si>
    <t>Subtotal</t>
  </si>
  <si>
    <t>Private Office Circulation Calculation (Factor - 28%; Multiplier - .40)</t>
  </si>
  <si>
    <t>Category Group 61 — Administrative Facilities Overview para 1.4.3</t>
  </si>
  <si>
    <t>Net Private Office Subtotal</t>
  </si>
  <si>
    <t>Administrative Open Office Space</t>
  </si>
  <si>
    <t>Supervisor</t>
  </si>
  <si>
    <t>CEI - xx, CEN - xx, CEO - xx</t>
  </si>
  <si>
    <t>Flight Superintendent / SNCOIC</t>
  </si>
  <si>
    <t>Design Engineer</t>
  </si>
  <si>
    <t>Design Engineers</t>
  </si>
  <si>
    <t>Section Chief</t>
  </si>
  <si>
    <t>Full Time Staff</t>
  </si>
  <si>
    <t>Staff - Full Time Admin</t>
  </si>
  <si>
    <t>CC-xx, CEI-xx, CEN-xx, CEO-xx</t>
  </si>
  <si>
    <t>IMA Staff</t>
  </si>
  <si>
    <t>Reservists (&lt;25% of FTE)</t>
  </si>
  <si>
    <t xml:space="preserve">Subtotal Open Office Space </t>
  </si>
  <si>
    <t>Open Office Circulation Calculation (Factor - 38%; Multiplier - .60)</t>
  </si>
  <si>
    <t xml:space="preserve">Net Open Office Space </t>
  </si>
  <si>
    <t xml:space="preserve">Administrative Special Purpose and Shared Space </t>
  </si>
  <si>
    <t>Administrative Support Space</t>
  </si>
  <si>
    <t>Category Group 61 — Administrative Facilities Overview para 1.2.3.  Includes circulation in and around office areas and space for working office storage, copiers, working files, printers, scanners, shredders, safes, lactation rooms and facsimile machines.</t>
  </si>
  <si>
    <t>Category Group 61 — Administrative Facilities Overview para 1.4.5. Total conference space for unit, to be divided in to conference and team rooms as needed</t>
  </si>
  <si>
    <t>Break Rooms (Kitchen/Vending)</t>
  </si>
  <si>
    <t>Category Group 61 — Administrative Facilities Overview Table 1.3 (3 SF per Full Time Staff- Minimum  50 NSF)</t>
  </si>
  <si>
    <t>Full D size Plotter</t>
  </si>
  <si>
    <t>If needed</t>
  </si>
  <si>
    <t>Waiting Areas</t>
  </si>
  <si>
    <t>Workbench</t>
  </si>
  <si>
    <t>Engineering Drawing worktable (if needed)</t>
  </si>
  <si>
    <t>Lockers</t>
  </si>
  <si>
    <t>Conference Room (need justification)</t>
  </si>
  <si>
    <t>SIPR Room 20 SF per station, 80 SF min</t>
  </si>
  <si>
    <t xml:space="preserve">If needed - SIPR rooms are shared secure computer SIPR Net rooms (a.k.a., SIPR café) with multiple SIPR stations for unit use. Each SIPR station is authorized 20 sf. A SIPR room is sized at the greater of the total number of SIPR stations x 20 sf or 80 sf minimum. If safes are stored in this room, the net SF is increased by the footprint of the safes </t>
  </si>
  <si>
    <t xml:space="preserve">Subtotal Administrative Support and Special Purpose Space </t>
  </si>
  <si>
    <t>Administrative Support and Special Purpose Space Circulation Calculation (Factor - 28%; Multiplier - .40)</t>
  </si>
  <si>
    <t xml:space="preserve">Net Administrative Support and Special Purpose Space </t>
  </si>
  <si>
    <t>Non-Administrative Special Purpose Space</t>
  </si>
  <si>
    <t>Drawing Vault Storage</t>
  </si>
  <si>
    <t>Survey Equipment Secure Storage</t>
  </si>
  <si>
    <t>Server Room</t>
  </si>
  <si>
    <t>User Justified</t>
  </si>
  <si>
    <t>IT Storage</t>
  </si>
  <si>
    <t>Customer Service Desks</t>
  </si>
  <si>
    <t xml:space="preserve">Customer service desks in CCQ and Customer Service at 2X10 each. </t>
  </si>
  <si>
    <t>Office of Record Storage</t>
  </si>
  <si>
    <t>User justified</t>
  </si>
  <si>
    <t>Special Purpose Storage</t>
  </si>
  <si>
    <t xml:space="preserve">Subtotal Non-Administrative Special Purpose Space </t>
  </si>
  <si>
    <t>Non-Administrative Special Purpose Space Circulation Calculation (Factor - 28%; Multiplier - .40)</t>
  </si>
  <si>
    <t xml:space="preserve">Net Non-Administrative Special Purpose Space </t>
  </si>
  <si>
    <t>Space Totals</t>
  </si>
  <si>
    <t>Total Net Building Area</t>
  </si>
  <si>
    <t>Total Net</t>
  </si>
  <si>
    <t>Net-to-Gross Multiplier ( Factor 30%; Multiplier - .42)</t>
  </si>
  <si>
    <t>Category Group 61 — Administrative Facilities Overview para 1.4.4</t>
  </si>
  <si>
    <t xml:space="preserve">Total Gross </t>
  </si>
  <si>
    <t>CEX Flight Chief</t>
  </si>
  <si>
    <t>CEX Flight Superintendent</t>
  </si>
  <si>
    <t>CEX Staff</t>
  </si>
  <si>
    <t>IMAs</t>
  </si>
  <si>
    <t>UJ</t>
  </si>
  <si>
    <t>Student Lounge</t>
  </si>
  <si>
    <t>Secure Storage</t>
  </si>
  <si>
    <t>Standby Area</t>
  </si>
  <si>
    <t>Housing Referral Officer</t>
  </si>
  <si>
    <t>Private Office</t>
  </si>
  <si>
    <t>Multiple Monitors workspace</t>
  </si>
  <si>
    <t>Housing Referral Counselor</t>
  </si>
  <si>
    <t>Part Time Staff / IMA</t>
  </si>
  <si>
    <t>Reception Desk</t>
  </si>
  <si>
    <t>Need Justification</t>
  </si>
  <si>
    <t>Display Area</t>
  </si>
  <si>
    <t>Per Draft AFMAN 32-1084, CATCODE 610119, Table 1.1</t>
  </si>
  <si>
    <t>Records Storage</t>
  </si>
  <si>
    <t>Customer Support Kiosk</t>
  </si>
  <si>
    <t xml:space="preserve">Net-to-Gross Multiplier </t>
  </si>
  <si>
    <t>CC: 219946 paragraph 1.3.  1SF controlled storage space for each SF of shop space.</t>
  </si>
  <si>
    <t>Warehouse Supervisor</t>
  </si>
  <si>
    <t>Warehouse Clerk</t>
  </si>
  <si>
    <t>Per AF Housing Support Facilities Guide, Chapter 4, Table C</t>
  </si>
  <si>
    <t>Warehouse (Dorm Furniture)</t>
  </si>
  <si>
    <t>Housing Loaner Kit</t>
  </si>
  <si>
    <t xml:space="preserve">Non-Administrative Special Purpose Space Circulation Calculation </t>
  </si>
  <si>
    <t>AFMAN 32-1084, Table 1.1, Default to Max.</t>
  </si>
  <si>
    <t>EOD Flight Chief</t>
  </si>
  <si>
    <t>EOD Flight Superintendent</t>
  </si>
  <si>
    <t>EOD Staff</t>
  </si>
  <si>
    <r>
      <t xml:space="preserve">450 SF/ 10 assigned personnel = </t>
    </r>
    <r>
      <rPr>
        <sz val="11"/>
        <color rgb="FFFF0000"/>
        <rFont val="Calibri"/>
        <family val="2"/>
        <scheme val="minor"/>
      </rPr>
      <t>xx</t>
    </r>
    <r>
      <rPr>
        <sz val="11"/>
        <color theme="1"/>
        <rFont val="Calibri"/>
        <family val="2"/>
        <scheme val="minor"/>
      </rPr>
      <t xml:space="preserve"> SF Per AFMAN 32-1084, CATCODE 141165 Table 1.1</t>
    </r>
  </si>
  <si>
    <t xml:space="preserve">Per AFMAN 32-1084, CATCODE 141165 Table 1.1 </t>
  </si>
  <si>
    <t>Physical Fitness Room</t>
  </si>
  <si>
    <t>Per AFMAN 32-1084, CATCODE 141165 Table 1.1</t>
  </si>
  <si>
    <t>Classified Storage</t>
  </si>
  <si>
    <t>Maintenance and Secure Storage</t>
  </si>
  <si>
    <t>Industrial storage area/Hazmat Pharmacy</t>
  </si>
  <si>
    <t>Laundry</t>
  </si>
  <si>
    <t>Professional Gear Storage</t>
  </si>
  <si>
    <t>Mobility Equipment UTC</t>
  </si>
  <si>
    <t>Fire Station</t>
  </si>
  <si>
    <t>UMD provided by &lt;&lt;Unit Office Symbol&gt;&gt; dated &lt;&lt;DD MMM YYYY&gt;&gt;, manning projected &lt;&lt;FYYY, Q#&gt;&gt;</t>
  </si>
  <si>
    <t>UNIT</t>
  </si>
  <si>
    <t>OSC</t>
  </si>
  <si>
    <t>OSC TITLE</t>
  </si>
  <si>
    <t>PSN NBR</t>
  </si>
  <si>
    <t>AFSC</t>
  </si>
  <si>
    <t>AFSC TITLE</t>
  </si>
  <si>
    <t>GRADE</t>
  </si>
  <si>
    <t>RIC</t>
  </si>
  <si>
    <t>Fund FYXX</t>
  </si>
  <si>
    <t>WORKSHEET ASSIGNMENT</t>
  </si>
  <si>
    <t>ENTER PROJECT NAME 
AND INFORMATION:</t>
  </si>
  <si>
    <t>Lists for Select Boxes</t>
  </si>
  <si>
    <t>Service Exceptions</t>
  </si>
  <si>
    <t>Notes</t>
  </si>
  <si>
    <t>Select Service Branch:</t>
  </si>
  <si>
    <t>Air Force</t>
  </si>
  <si>
    <t>Army</t>
  </si>
  <si>
    <t>Army &amp; Navy</t>
  </si>
  <si>
    <t>AF &amp; MC</t>
  </si>
  <si>
    <t>Navy</t>
  </si>
  <si>
    <t>Structural</t>
  </si>
  <si>
    <t>Marine Corps</t>
  </si>
  <si>
    <t>HQ/Main</t>
  </si>
  <si>
    <t>ARFF</t>
  </si>
  <si>
    <t>Combination</t>
  </si>
  <si>
    <t>Satellite</t>
  </si>
  <si>
    <t>Large HQ</t>
  </si>
  <si>
    <t>Yes</t>
  </si>
  <si>
    <t>No</t>
  </si>
  <si>
    <t>One Bed</t>
  </si>
  <si>
    <t>Two Beds</t>
  </si>
  <si>
    <t>Two Fold-ups</t>
  </si>
  <si>
    <t>Calculations</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</si>
  <si>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</si>
  <si>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</si>
  <si>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</si>
  <si>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</si>
  <si>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</si>
  <si>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</si>
  <si>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Select Spare FL Fire Exting. Tank Exterior Covered Storage (yes or no):</t>
  </si>
  <si>
    <t>This provides space for the 'One Bed' configuration (at 10.03 sm (108 sf) per room) for the following:</t>
  </si>
  <si>
    <t>1 company = 250 sf; 2 companies = 330 sf; each additional co. over 2 adds 50 sf</t>
  </si>
  <si>
    <t>1 to 2 companies = 80 sf; 3 to 4 cos = 160 sf; 5+ companies = 240 sf.</t>
  </si>
  <si>
    <t>40 (20/machine)</t>
  </si>
  <si>
    <t>1 to 2 FF companies = 2 vending machines; 3 to 4 cos = 3 machines; and 5+ cos. = 4 machines</t>
  </si>
  <si>
    <t>Station Officer's Office/ Watch Desk</t>
  </si>
  <si>
    <t>Based on selections entered above, the Fire Chief's Office is provided:</t>
  </si>
  <si>
    <t>Select Deputy Chief's Office (yes or no):</t>
  </si>
  <si>
    <t>Based on selections entered above, the Lobby Area is provided:</t>
  </si>
  <si>
    <t>Public toilet (ADA-compliant, unisex)</t>
  </si>
  <si>
    <t>Based on selections entered above, the Admin. Asst. is provided:</t>
  </si>
  <si>
    <t>Based on selections entered above, the Chief's Conf. Room is provided:</t>
  </si>
  <si>
    <t>Select Asst. Chief/ Shift Supervisor (yes or no):</t>
  </si>
  <si>
    <t>Select Asst. Chief of Fire Prevention (yes or no):</t>
  </si>
  <si>
    <t>Enter Inspector(s) Offices (no. of workstations):</t>
  </si>
  <si>
    <t>Limited to 10 inspector workstations.</t>
  </si>
  <si>
    <t>Select EMS Office (yes or no):</t>
  </si>
  <si>
    <t>Select HAZMAT/ Safety Office (yes or no):</t>
  </si>
  <si>
    <t>Select Logistics Office (yes or no):</t>
  </si>
  <si>
    <t>Select Training Officer Office (yes or no):</t>
  </si>
  <si>
    <t>Enter Dept. Training Room (no. of people):</t>
  </si>
  <si>
    <t>Dept. Training Room includes Training Room Storage at:</t>
  </si>
  <si>
    <t>HQ Computer Training/Testing Room (per six testing stations)</t>
  </si>
  <si>
    <t>4 testing stations for satellite. 6 stations for HQ stations.</t>
  </si>
  <si>
    <t>Check here to delete HQ Computer Training/Testing Room in this station. &gt;</t>
  </si>
  <si>
    <t>General Admin Storage</t>
  </si>
  <si>
    <t>Check here to delete General Admin Storage in this station. &gt;</t>
  </si>
  <si>
    <t>IT Room</t>
  </si>
  <si>
    <t>Select EOC Situation Room* (yes or no):</t>
  </si>
  <si>
    <t>Enter Reserve Offices (no. of offices):</t>
  </si>
  <si>
    <t>Limited to 10 offices</t>
  </si>
  <si>
    <t>Select Reserve Firefighter PPE Gear (no. of reservists):</t>
  </si>
  <si>
    <t>Enter no. of Dispatch stations (on-duty Dispatchers):</t>
  </si>
  <si>
    <r>
      <t xml:space="preserve">Limited to 5 Dispatchers.  - </t>
    </r>
    <r>
      <rPr>
        <b/>
        <sz val="10"/>
        <color indexed="10"/>
        <rFont val="Arial"/>
        <family val="2"/>
      </rPr>
      <t>No. of dispatchers on duty</t>
    </r>
  </si>
  <si>
    <t>Dispatch includes Dispatch Bathroom at:</t>
  </si>
  <si>
    <t>Dispatch includes Dispatch Kitchenette at:</t>
  </si>
  <si>
    <t>Dispatch includes Additional IT Room Space space at:</t>
  </si>
  <si>
    <t>Select Dispatch Supervisor (yes or no):</t>
  </si>
  <si>
    <t>* This provides space for a Dispatch Supervisor's workstation.</t>
  </si>
  <si>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</si>
  <si>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</si>
  <si>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</si>
  <si>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</si>
  <si>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Description</t>
  </si>
  <si>
    <t>SF</t>
  </si>
  <si>
    <t>Personnel per Support Agreement</t>
  </si>
  <si>
    <t>N/A</t>
  </si>
  <si>
    <t>Number of personnel from Support Agreement &lt;&lt;##&gt;&gt; dated &lt;&lt;DD MMM YYYY&gt;&gt;</t>
  </si>
  <si>
    <t>Total Number of Personnel</t>
  </si>
  <si>
    <t>Space per Support Agreement</t>
  </si>
  <si>
    <t>&lt;&lt;Building number or space type description&gt;&gt;</t>
  </si>
  <si>
    <t>Space allocated per Support Agreement &lt;&lt;##&gt;&gt; dated &lt;&lt;DD MMM YYYY&gt;&gt;</t>
  </si>
  <si>
    <t>Total Space Allocated per Support Agreement</t>
  </si>
  <si>
    <t>&lt;&lt; Delete this Sheet if not used or needed &gt;&gt;</t>
  </si>
  <si>
    <t>SF/Pers</t>
  </si>
  <si>
    <t>Admin Special Purpose</t>
  </si>
  <si>
    <t>CATCode</t>
  </si>
  <si>
    <t>CATCode Long Name</t>
  </si>
  <si>
    <t>CATCode Description</t>
  </si>
  <si>
    <t>Standards/Criteria Reference (if available)</t>
  </si>
  <si>
    <t xml:space="preserve"> </t>
  </si>
  <si>
    <t># PN lower</t>
  </si>
  <si>
    <t>#PN upper</t>
  </si>
  <si>
    <t>Team ft2 
# Seats</t>
  </si>
  <si>
    <t>Total Team Rm</t>
  </si>
  <si>
    <t>Total Confer (with 150 Speaker Area)</t>
  </si>
  <si>
    <t>Total Space NSF</t>
  </si>
  <si>
    <t>Office Type A (Private)</t>
  </si>
  <si>
    <t>Other</t>
  </si>
  <si>
    <t>Administrative Storage</t>
  </si>
  <si>
    <t>RUNWAY</t>
  </si>
  <si>
    <t>‌http://www.wbdg.org/FFC/AF/AFMAN/111111_Runways.pdf</t>
  </si>
  <si>
    <t>Office Type B (Private)</t>
  </si>
  <si>
    <t>Various</t>
  </si>
  <si>
    <t>OVERRUN, PAVED</t>
  </si>
  <si>
    <t>‌http://www.wbdg.org/FFC/AF/AFMAN/111115_Paved_Overrun.pdf</t>
  </si>
  <si>
    <t>Office Type C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</si>
  <si>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</si>
  <si>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</si>
  <si>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</si>
  <si>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</si>
  <si>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Office Type D (Private)</t>
  </si>
  <si>
    <t>O-10</t>
  </si>
  <si>
    <t>Office Type E (Open)</t>
  </si>
  <si>
    <t>O-9</t>
  </si>
  <si>
    <t>Classroom (25-50 typical, up to 75)</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</si>
  <si>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</si>
  <si>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</si>
  <si>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</si>
  <si>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F (Open)</t>
  </si>
  <si>
    <t>O-8</t>
  </si>
  <si>
    <t>APRON</t>
  </si>
  <si>
    <t>Pavement provided for aircraft parking, servicing, and loading. Using Medium load aircraft in Weather Zone A.</t>
  </si>
  <si>
    <t>‌http://www.wbdg.org/FFC/AF/AFMAN/113321_Apron.pdf</t>
  </si>
  <si>
    <t>Office Type G (Open)</t>
  </si>
  <si>
    <t>O-7</t>
  </si>
  <si>
    <t xml:space="preserve">                                                  </t>
  </si>
  <si>
    <t>This facility is used to train crews of cargo aircraft in the conduct of airlift operations.</t>
  </si>
  <si>
    <t>‌http://www.wbdg.org/FFC/AF/AFMAN/116116_Takeoff_and_Landing_Zone.pdf</t>
  </si>
  <si>
    <t>Office Type H (Open)</t>
  </si>
  <si>
    <t>O-6</t>
  </si>
  <si>
    <t>Office Type I (Open)</t>
  </si>
  <si>
    <t>O-5</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</si>
  <si>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</si>
  <si>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</si>
  <si>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</si>
  <si>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O-4</t>
  </si>
  <si>
    <t>The shoulders of runways, taxi-ways, etc.</t>
  </si>
  <si>
    <t>‌http://www.wbdg.org/FFC/AF/AFMAN/116642_Paved_Shoulders.pdf</t>
  </si>
  <si>
    <t>Private Offices</t>
  </si>
  <si>
    <t>O-3</t>
  </si>
  <si>
    <t>Used for arming aircraft immediately before takeoff and for disarming weapons retained or not expended upon their return.</t>
  </si>
  <si>
    <t>‌http://www.wbdg.org/FFC/AF/AFMAN/116661_Pad_Arm_and_Disarm.pdf</t>
  </si>
  <si>
    <t>Position (or Equivalent)</t>
  </si>
  <si>
    <t>O-2</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</si>
  <si>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</si>
  <si>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</si>
  <si>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Area Defense Counsel</t>
  </si>
  <si>
    <t>O-1</t>
  </si>
  <si>
    <t>Entry Control Vestibule</t>
  </si>
  <si>
    <t>Pavement provided for helicopters when there is no other operational apron or pad available in the area.</t>
  </si>
  <si>
    <t>‌http://www.wbdg.org/FFC/AF/AFMAN/116663_Pad_Helicopter.pdf</t>
  </si>
  <si>
    <t>Attorney</t>
  </si>
  <si>
    <t>Enlisted</t>
  </si>
  <si>
    <t>A paved area, 80 by 120 feet used in performing full power checks of jet engines.</t>
  </si>
  <si>
    <t>‌http://www.wbdg.org/FFC/AF/AFMAN/116664_Pad_Power_Check.pdf</t>
  </si>
  <si>
    <t>Branch Chief</t>
  </si>
  <si>
    <t>‌http://www.wbdg.org/FFC/AF/AFMAN/116665_Pad_Power_Check_with_Noise_Suppressor.pdf</t>
  </si>
  <si>
    <t>Chaplain</t>
  </si>
  <si>
    <t>SNCO</t>
  </si>
  <si>
    <t>A paved area adjacent to the taxi-way at the end of the runway. It provides a means of bypassing aircraft being held at the runway end for various reasons.</t>
  </si>
  <si>
    <t>‌http://www.wbdg.org/FFC/AF/AFMAN/116666_Pad_Warm_up_Holding.pdf</t>
  </si>
  <si>
    <t>Civilian Equal Opportunity Chief</t>
  </si>
  <si>
    <t>NCO</t>
  </si>
  <si>
    <t>A paved area where aircraft are positioned for the calibration of the magnetic standby compass and the magnetic azimuth detector.</t>
  </si>
  <si>
    <t>‌http://www.wbdg.org/FFC/AF/AFMAN/116667_Pad_Compass_Calibration.pdf</t>
  </si>
  <si>
    <t>Civilian Personnel Chief</t>
  </si>
  <si>
    <t>Airman</t>
  </si>
  <si>
    <t>Those pads that are used for launching missiles.</t>
  </si>
  <si>
    <t>‌http://www.wbdg.org/FFC/AF/AFMAN/116668_Pad_Launching.pdf</t>
  </si>
  <si>
    <t>Commander: Center</t>
  </si>
  <si>
    <t>E-9</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</si>
  <si>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</si>
  <si>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</si>
  <si>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Center Deputy</t>
  </si>
  <si>
    <t>E-8</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</si>
  <si>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</si>
  <si>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</si>
  <si>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Commander: FIELDCOM</t>
  </si>
  <si>
    <t>E-7</t>
  </si>
  <si>
    <t>Backstops made of earth and wood used as safety areas perpendicular to where aircraft are parked and where hot ammo is downloaded.</t>
  </si>
  <si>
    <t>‌https://www.wbdg.org/FFC/AF/AFMAN/116933_Firing_In_Buttress.pdf</t>
  </si>
  <si>
    <t>Commander: Flight (G-Series Orders)</t>
  </si>
  <si>
    <t>E-6</t>
  </si>
  <si>
    <t>Lobby</t>
  </si>
  <si>
    <t>Concave corrugated metal surface, with or without baffles, fastened and braced to a concrete base to withstand the force of the jet blast which is deflected upward.</t>
  </si>
  <si>
    <t>‌https://www.wbdg.org/FFC/AF/AFMAN/116945_Jet_Blast_Deflector.pdf</t>
  </si>
  <si>
    <t>Commander: Group</t>
  </si>
  <si>
    <t>E-5</t>
  </si>
  <si>
    <t>‌https://www.wbdg.org/FFC/AF/AFMAN/121111_Petroleum_Operations_Building.pdf</t>
  </si>
  <si>
    <t>Commander: Group Deputy</t>
  </si>
  <si>
    <t>E-4</t>
  </si>
  <si>
    <t>‌http://www.wbdg.org/FFC/AF/AFMAN/121115_Aviation_Fuel_Dispensing_System.pdf</t>
  </si>
  <si>
    <t xml:space="preserve">Commander: MAJCOM </t>
  </si>
  <si>
    <t>E-3</t>
  </si>
  <si>
    <t>‌http://www.wbdg.org/FFC/AF/AFMAN/121122_Hydrant_Fueling_System.pdf</t>
  </si>
  <si>
    <t>Commander: MAJCOM Deputy</t>
  </si>
  <si>
    <t>E-2</t>
  </si>
  <si>
    <t>Mail Distribution Room</t>
  </si>
  <si>
    <t>‌https://www.wbdg.org/FFC/AF/AFMAN/121124_Hydrant_Fueling_Building.pdf</t>
  </si>
  <si>
    <t xml:space="preserve">Commander: NAF </t>
  </si>
  <si>
    <t>E-1</t>
  </si>
  <si>
    <t>‌http://www.wbdg.org/FFC/AF/AFMAN/122111_Marine_Fuel_Dispensing_Sys.pdf</t>
  </si>
  <si>
    <t>Table 7 - Collaboration Space Based on # staff TW</t>
  </si>
  <si>
    <t>‌http://www.wbdg.org/FFC/AF/AFMAN/123335_Vehicle_Fueling_Station.pdf</t>
  </si>
  <si>
    <t># PN upper</t>
  </si>
  <si>
    <t>Total Space</t>
  </si>
  <si>
    <t>‌http://www.wbdg.org/FFC/AF/AFMAN/124131_Operating_Storage_Aviation_Gas.pdf</t>
  </si>
  <si>
    <t>Commander: Wing</t>
  </si>
  <si>
    <t>Contractor</t>
  </si>
  <si>
    <t>‌http://www.wbdg.org/FFC/AF/AFMAN/124132_Operating_Storage_Aviation_Lubricant.pdf</t>
  </si>
  <si>
    <t>Commander: Wing Deputy</t>
  </si>
  <si>
    <t>GS</t>
  </si>
  <si>
    <t>‌http://www.wbdg.org/FFC/AF/AFMAN/124134_Operating_Storage_Diesel.pdf</t>
  </si>
  <si>
    <t xml:space="preserve">Director of Operations </t>
  </si>
  <si>
    <t>SES</t>
  </si>
  <si>
    <t>‌http://www.wbdg.org/FFC/AF/AFMAN/124135_Operating_Storage_Jet_Fuel.pdf</t>
  </si>
  <si>
    <t>Directorate Chief</t>
  </si>
  <si>
    <t>GS-15</t>
  </si>
  <si>
    <t>‌http://www.wbdg.org/FFC/AF/AFMAN/124137_Operating_Storage_Motor_Gas.pdf</t>
  </si>
  <si>
    <t>Directorate Deputy</t>
  </si>
  <si>
    <t>GS-14</t>
  </si>
  <si>
    <t>Shipping/Receiving</t>
  </si>
  <si>
    <t>‌http://www.wbdg.org/FFC/AF/AFMAN/124138_Operating_Storage_Solvents.pdf</t>
  </si>
  <si>
    <t>Division Chief</t>
  </si>
  <si>
    <t>GS-13</t>
  </si>
  <si>
    <t>Above ground storage tanks that provide an operating and reserve supply of special fuels.</t>
  </si>
  <si>
    <t>‌http://www.wbdg.org/FFC/AF/AFMAN/124139_Operating_Storage_Special_Fuels.pdf</t>
  </si>
  <si>
    <t>Division Deputy</t>
  </si>
  <si>
    <t>GS-12</t>
  </si>
  <si>
    <t>Special Purpose / Shared Space</t>
  </si>
  <si>
    <t>No Standards/Criteria available</t>
  </si>
  <si>
    <t>Faculty/Instructor</t>
  </si>
  <si>
    <t>GS-11</t>
  </si>
  <si>
    <t>GS-10</t>
  </si>
  <si>
    <t>GS-9</t>
  </si>
  <si>
    <t>Unit Specific Area</t>
  </si>
  <si>
    <t>GS-8</t>
  </si>
  <si>
    <t>Military Personnel Chief</t>
  </si>
  <si>
    <t>GS-7</t>
  </si>
  <si>
    <t>GS-6</t>
  </si>
  <si>
    <t>‌http://www.wbdg.org/FFC/AF/AFMAN/124340_Operating_Storage_E_85_Ethanol.pdf</t>
  </si>
  <si>
    <t>Public Affairs Chief</t>
  </si>
  <si>
    <t>GS-5</t>
  </si>
  <si>
    <t>‌http://www.wbdg.org/FFC/AF/AFMAN/124341_Operating_Storage_Bio_Diesel.pdf</t>
  </si>
  <si>
    <t>Safety Chief</t>
  </si>
  <si>
    <t>GS-4</t>
  </si>
  <si>
    <t>‌http://www.wbdg.org/FFC/AF/AFMAN/124342_Operating_Storage_Diesel_JP_8.pdf</t>
  </si>
  <si>
    <t>GS-3</t>
  </si>
  <si>
    <t>Staff Judge Advocate</t>
  </si>
  <si>
    <t>GS-2</t>
  </si>
  <si>
    <t>Staff Judge Advocate Deputy</t>
  </si>
  <si>
    <t>GS-1</t>
  </si>
  <si>
    <t>Wing Chaplain</t>
  </si>
  <si>
    <t>NH</t>
  </si>
  <si>
    <t>‌http://www.wbdg.org/FFC/AF/AFMAN/125210_POL_Piping_System_within_a_site.pdf</t>
  </si>
  <si>
    <t>Wing Command CMSgt</t>
  </si>
  <si>
    <t>NH-01</t>
  </si>
  <si>
    <t>Wing Historian</t>
  </si>
  <si>
    <t>NH-02</t>
  </si>
  <si>
    <t>Wing Staff Agency Chief</t>
  </si>
  <si>
    <t>NH-03</t>
  </si>
  <si>
    <t>‌http://www.wbdg.org/FFC/AF/AFMAN/125554_Pipeline_Liquid_Fuels.pdf</t>
  </si>
  <si>
    <t>NH-04</t>
  </si>
  <si>
    <t>‌http://www.wbdg.org/FFC/AF/AFMAN/125977_Pump_Station_Liquid_Fuels.pdf</t>
  </si>
  <si>
    <t>‌http://www.wbdg.org/FFC/AF/AFMAN/126925_Liquid_Fuel_Truck_Fill_Stand.pdf</t>
  </si>
  <si>
    <t>Open Offices</t>
  </si>
  <si>
    <t>GG</t>
  </si>
  <si>
    <t>‌http://www.wbdg.org/FFC/AF/AFMAN/126926_Liquid_Fuel_Stand_Unloading.pdf</t>
  </si>
  <si>
    <t>GG-15</t>
  </si>
  <si>
    <t>GG-14</t>
  </si>
  <si>
    <t>‌http://www.wbdg.org/FFC/AF/AFMAN/131111_Telecommunications_Facility.pdf</t>
  </si>
  <si>
    <t>Contractor (&lt;25% of FTE)</t>
  </si>
  <si>
    <t>GG-13</t>
  </si>
  <si>
    <t>The MARS station is an official, integral part of the telecommunications complex. Missions, functions, and operating methods are outlined in regulatory publications.</t>
  </si>
  <si>
    <t>‌http://www.wbdg.org/FFC/AF/AFMAN/131114_Military_Affiliate_Radio_Sys_MARS_Fac.pdf</t>
  </si>
  <si>
    <t>GG-12</t>
  </si>
  <si>
    <t>‌http://www.wbdg.org/FFC/AF/AFMAN/131115_Communications_Receiver_Facility.pdf</t>
  </si>
  <si>
    <t>Contractor (25-50% of FTE)</t>
  </si>
  <si>
    <t>GG-11</t>
  </si>
  <si>
    <t>‌http://www.wbdg.org/FFC/AF/AFMAN/131116_Comm_Transmitte_Receiver_Facility.pdf</t>
  </si>
  <si>
    <t>WG-15</t>
  </si>
  <si>
    <t>‌http://www.wbdg.org/FFC/AF/AFMAN/131117_Communications_Transmitter_Facility.pdf</t>
  </si>
  <si>
    <t>Executive Officer</t>
  </si>
  <si>
    <t>WG-14</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</si>
  <si>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</si>
  <si>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</si>
  <si>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Flight Chief</t>
  </si>
  <si>
    <t>WG-13</t>
  </si>
  <si>
    <t>Radio and television studio set up for the American Armed Forces.</t>
  </si>
  <si>
    <t>‌https://www.wbdg.org/FFC/AF/AFMAN/131119_American_Forces_Radio_and_Television_Station.pdf</t>
  </si>
  <si>
    <t>WG-12</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</si>
  <si>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</si>
  <si>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</si>
  <si>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WG-11</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</si>
  <si>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</si>
  <si>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</si>
  <si>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JA Staff</t>
  </si>
  <si>
    <t>WG-10</t>
  </si>
  <si>
    <t>Facility used to transmit or pass messages from one tributary to another automatic, semiautomatic or manual means, or by electrically connecting circuits between tributaries for direct transmission.</t>
  </si>
  <si>
    <t>‌http://www.wbdg.org/FFC/AF/AFMAN/131134_Air_Comm_Relay_Center.pdf</t>
  </si>
  <si>
    <t>Limited Admin</t>
  </si>
  <si>
    <t>WG-09</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</si>
  <si>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</si>
  <si>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</si>
  <si>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NCOIC</t>
  </si>
  <si>
    <t>WG-08</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</si>
  <si>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</si>
  <si>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</si>
  <si>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WG-07</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</si>
  <si>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</si>
  <si>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</si>
  <si>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Reservists (25-50% of FTE)</t>
  </si>
  <si>
    <t>WG-06</t>
  </si>
  <si>
    <t>Communications facility that provides the control link between the transmitter, receiver and relay center.</t>
  </si>
  <si>
    <t>‌https://www.wbdg.org/FFC/AF/AFMAN/131138_High_Freq_AIRCOM_Microwave_Relay_Facility.pdf</t>
  </si>
  <si>
    <t>WG-05</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</si>
  <si>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</si>
  <si>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</si>
  <si>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</si>
  <si>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WG-04</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</si>
  <si>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</si>
  <si>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</si>
  <si>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</si>
  <si>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WG-03</t>
  </si>
  <si>
    <t>‌http://www.wbdg.org/FFC/AF/AFMAN/131200_Space_Operations_Facility.pdf</t>
  </si>
  <si>
    <t>Task Station (Drop-In Admin)</t>
  </si>
  <si>
    <t>WG-02</t>
  </si>
  <si>
    <t>This antenna is housed in a hardened silo. The antenna is raised in an upright position when charges are used to blow the capsule for missile launch.</t>
  </si>
  <si>
    <t>‌http://www.wbdg.org/FFC/AF/AFMAN/132131_Sil_Hardened_HF_Antenna.pdf</t>
  </si>
  <si>
    <t>Telework / Hoteling Desk</t>
  </si>
  <si>
    <t>https://www.wbdg.org/FFC/AF/AFMAN/132133_PAD_Equipment_Support.pdf</t>
  </si>
  <si>
    <t>This category code identifies towers, tower guys, antenna poles, concrete footings and hardstands supporting communications-electronics equipment.</t>
  </si>
  <si>
    <t>‌http://www.wbdg.org/FFC/AF/AFMAN/132134_Antenna_Support_Structure.pdf</t>
  </si>
  <si>
    <t>Warrant Officer</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</si>
  <si>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</si>
  <si>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</si>
  <si>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WO-1</t>
  </si>
  <si>
    <t>WO-2</t>
  </si>
  <si>
    <t>This code is provided to identify the installation for UHF antennas.</t>
  </si>
  <si>
    <t>‌http://www.wbdg.org/FFC/AF/AFMAN/133314_UHF_Direction_Finding.pdf</t>
  </si>
  <si>
    <t>WO-3</t>
  </si>
  <si>
    <t>WIND MEASURING EQUIPMENT</t>
  </si>
  <si>
    <t>Navigational aid designed for measuring weather condition.</t>
  </si>
  <si>
    <t>‌http://www.wbdg.org/FFC/AF/AFMAN/134101_Wind_Measuring_Equipment.pdf</t>
  </si>
  <si>
    <t>WO-4</t>
  </si>
  <si>
    <t>Weather station designed to measure meteorological events automatically.</t>
  </si>
  <si>
    <t>‌http://www.wbdg.org/FFC/AF/AFMAN/134102_Automatic_Meteorological_Station.pdf</t>
  </si>
  <si>
    <t>NJ-02</t>
  </si>
  <si>
    <t>‌http://www.wbdg.org/FFC/AF/AFMAN/134103_Runway_Distance_Markers.pdf</t>
  </si>
  <si>
    <t>NJ-03</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</si>
  <si>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</si>
  <si>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</si>
  <si>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NJ-04</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</si>
  <si>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</si>
  <si>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</si>
  <si>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NK-01</t>
  </si>
  <si>
    <t>‌http://www.wbdg.org/FFC/AF/AFMAN/134336_Fixed_Radar_Approach_Control_RAPCON_GCA_Fixed_Facility.pdf</t>
  </si>
  <si>
    <t>NK-02</t>
  </si>
  <si>
    <t>Underground vault that provides transformer power line connection and maintenance area for underground power lines that control the airfield.</t>
  </si>
  <si>
    <t>https://www.wbdg.org/FFC/AF/AFMAN/134338_RAPCON_Vault_GCA_Vault.pdf</t>
  </si>
  <si>
    <t>NK-03</t>
  </si>
  <si>
    <t>Radar approach control facility with space for crew training/study, rest and duty standby, administration, maintenance shop, test equipment storage, kitchen, and latrine.</t>
  </si>
  <si>
    <t>‌http://www.wbdg.org/FFC/AF/AFMAN/134341_RAPCON_Support_Bldg_GCA_RAPCON_Spt_Bldg.pdf</t>
  </si>
  <si>
    <t>AD-00</t>
  </si>
  <si>
    <t>Hard-stand shelters that house standard navigational aid instruments which utilize fixed radio beams that provide aircraft final approach guidance.</t>
  </si>
  <si>
    <t>‌http://www.wbdg.org/FFC/AF/AFMAN/134351_Instrument_Landing_System_ILS.pdf</t>
  </si>
  <si>
    <t>AD-21</t>
  </si>
  <si>
    <t>Hard stand shelters that house standard navigational aid instruments which utilize fixed radio beams that provide aircraft azimuth approach guidance.</t>
  </si>
  <si>
    <t>‌http://www.wbdg.org/FFC/AF/AFMAN/134353_ILS_Localizer.pdf</t>
  </si>
  <si>
    <t>AD-22</t>
  </si>
  <si>
    <t>ILS MARKER BEACON</t>
  </si>
  <si>
    <t>The three marker beacons inner, middle and outer are used to provide accurate radio fixes along the approach course.</t>
  </si>
  <si>
    <t>‌http://www.wbdg.org/FFC/AF/AFMAN/134355_ILS_Marker_Beacon.pdf</t>
  </si>
  <si>
    <t>AD-23</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</si>
  <si>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</si>
  <si>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</si>
  <si>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AD-24</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</si>
  <si>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</si>
  <si>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</si>
  <si>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AD-25</t>
  </si>
  <si>
    <t>‌http://www.wbdg.org/FFC/AF/AFMAN/134375_RAPCON_Center.pdf</t>
  </si>
  <si>
    <t>AD-26</t>
  </si>
  <si>
    <t>Radar system with a 200 nautical mile radar beacon system capability.</t>
  </si>
  <si>
    <t>‌http://www.wbdg.org/FFC/AF/AFMAN/134376_Airport_Surveillance_Radar.pdf</t>
  </si>
  <si>
    <t>AD-27</t>
  </si>
  <si>
    <t>Facility that houses a low frequency homing beacon for area coverage and terminal approach purposes. The facility is also used for air route support where extreme ranges are not mandatory.</t>
  </si>
  <si>
    <t>‌http://www.wbdg.org/FFC/AF/AFMAN/134442_Radio_Beacon_Facility.pdf</t>
  </si>
  <si>
    <t>AD-28</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</si>
  <si>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</si>
  <si>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</si>
  <si>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DO-01</t>
  </si>
  <si>
    <t>Metal, open latticework towers provided for use radio and radar antennas. The towers come with concrete bases, ladders and platforms/catwalks to permit mounting of antennas and routine maintenance.</t>
  </si>
  <si>
    <t>‌http://www.wbdg.org/FFC/AF/AFMAN/134473_NAVAID_Tower.pdf</t>
  </si>
  <si>
    <t>DO-02</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</si>
  <si>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</si>
  <si>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</si>
  <si>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DO-03</t>
  </si>
  <si>
    <t>‌http://www.wbdg.org/FFC/AF/AFMAN/134484_High_Power_VHF_Omni_Range.pdf</t>
  </si>
  <si>
    <t>DO-04</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</si>
  <si>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</si>
  <si>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DR-01</t>
  </si>
  <si>
    <t>A lighted visual aid that indicates the direction of the wind to enable pilots to select the proper runway for landing. This navigation aid will normally be a lighted cone or a wind sock.</t>
  </si>
  <si>
    <t>‌http://www.wbdg.org/FFC/AF/AFMAN/134678_Wind_Direction_Indicator.pdf</t>
  </si>
  <si>
    <t>DR-02</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</si>
  <si>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</si>
  <si>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</si>
  <si>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DR-03</t>
  </si>
  <si>
    <t>Network of wooden poles used to distribute telephone cable throughout a base. Underground cable installation is preferred for security reasons as well as aesthetics.</t>
  </si>
  <si>
    <t>‌http://www.wbdg.org/FFC/AF/AFMAN/135586_Telephone_Pole_Facility.pdf</t>
  </si>
  <si>
    <t>DR-04</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</si>
  <si>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</si>
  <si>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</si>
  <si>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</si>
  <si>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DR-05</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</si>
  <si>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</si>
  <si>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</si>
  <si>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</si>
  <si>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DU-02</t>
  </si>
  <si>
    <t>Lighting that identifies objects that protrude or penetrate clearance plans.</t>
  </si>
  <si>
    <t>‌http://www.wbdg.org/FFC/AF/AFMAN/136662_Obstruction_Lighting.pdf</t>
  </si>
  <si>
    <t>DU-03</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</si>
  <si>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</si>
  <si>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</si>
  <si>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DU-04</t>
  </si>
  <si>
    <t>‌http://www.wbdg.org/FFC/AF/AFMAN/136666_Special_Airfield_Lighting.pdf</t>
  </si>
  <si>
    <t>DX-03</t>
  </si>
  <si>
    <t>All lighting provided for regularly used taxi-ways.</t>
  </si>
  <si>
    <t>‌http://www.wbdg.org/FFC/AF/AFMAN/136667_Taxiway_Lighting.pdf</t>
  </si>
  <si>
    <t>DX-04</t>
  </si>
  <si>
    <t>Above ground facility that houses regulators, controls and other equipment for airfield lighting systems such as approaches, runways, taxi-ways, and specials systems.</t>
  </si>
  <si>
    <t xml:space="preserve">https://www.wbdg.org/FFC/AF/AFMAN/136668_Airfield_Lighting_Vault.pdf </t>
  </si>
  <si>
    <t>EE-00</t>
  </si>
  <si>
    <t>LIGHTHOUSE</t>
  </si>
  <si>
    <t>EF-00</t>
  </si>
  <si>
    <t>‌https://www.wbdg.org/FFC/AF/AFMAN/140421_Emergency_Operations_Center.pdf</t>
  </si>
  <si>
    <t>ES-00</t>
  </si>
  <si>
    <t>SCIF</t>
  </si>
  <si>
    <t>‌https://www.wbdg.org/FFC/AF/AFMAN/140422_SCIF.pdf</t>
  </si>
  <si>
    <t>EX-02</t>
  </si>
  <si>
    <t>‌https://www.wbdg.org/FFC/AF/AFMAN/141101_Airfield_Fire_Rescue_Station.pdf</t>
  </si>
  <si>
    <t>EX-03</t>
  </si>
  <si>
    <t>A harbor marina radio building used to monitor all marine activities and to store marine equipment.</t>
  </si>
  <si>
    <t>‌https://www.wbdg.org/FFC/AF/AFMAN/141154_Crash_Boat_Crew_Station.pdf</t>
  </si>
  <si>
    <t>EX-04</t>
  </si>
  <si>
    <t>Facility dedicated to disposal of hazardous ordnance. The facility typically includes space for admin., training room, storage for special clothing, workshop and test equipment, etc.</t>
  </si>
  <si>
    <t>‌https://www.wbdg.org/FFC/AF/AFMAN/141165_Explosive_Ordnance_Disposal.pdf</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</si>
  <si>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</si>
  <si>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</si>
  <si>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‌https://www.wbdg.org/FFC/AF/AFMAN/141181_Aircraft_Shelter.pdf</t>
  </si>
  <si>
    <t>Hardened structure intended to protect tactical aircraft in a forward basing area. The structure is typically a steel arch covered with a minimum of 18 inches of Portland cement concrete.</t>
  </si>
  <si>
    <t>‌https://www.wbdg.org/FFC/AF/AFMAN/141182_Hardened_Aircraft_Shelters.pdf</t>
  </si>
  <si>
    <t>Alert aircraft hangar located for fast takeoff within prescribed limits. The facility typically contains maintenance space and equipment and in some cases, ready crew facilities.</t>
  </si>
  <si>
    <t>‌https://www.wbdg.org/FFC/AF/AFMAN/141183_Alert_Hangar_Fighter_Aircraft.pdf</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</si>
  <si>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</si>
  <si>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</si>
  <si>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Hangar typically supporting two helicopters designed for rescue and recovery. Shop and personnel support space are also typically part of this facility.</t>
  </si>
  <si>
    <t>‌https://www.wbdg.org/FFC/AF/AFMAN/141185_Helicopter_Rescue_Recovery_Hangar.pdf</t>
  </si>
  <si>
    <t>‌https://www.wbdg.org/FFC/AF/AFMAN/141232_Aerial_Delivery_Facility.pdf</t>
  </si>
  <si>
    <t>Facility dedicated to the production filming, and presentation of audiovisual material and graphic arts visual aid products used in training, conferences, briefings and similar activities.</t>
  </si>
  <si>
    <t>https://www.wbdg.org/FFC/AF/AFMAN/6_FC_6_CG_61_Admin_Overview_Apr_2020.pdf</t>
  </si>
  <si>
    <t>Facility designed for motion picture printing, processing, chemical mixing, analysis, negative cutting, positive assembly, film cleaning, and other related film processing operations. The Space requires adequate ventilation, temperature, humidity and dust control.</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</si>
  <si>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</si>
  <si>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</si>
  <si>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‌https://www.wbdg.org/FFC/AF/AFMAN/141389_Television_Production_Facility.pdf</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</si>
  <si>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</si>
  <si>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</si>
  <si>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Facility designed to house the high-power transmitter and associated equipment critical to system operations.</t>
  </si>
  <si>
    <t>‌https://www.wbdg.org/FFC/AF/AFMAN/141392_Radar_Transmitter_Building_BMEWS.pdf</t>
  </si>
  <si>
    <t>‌https://www.wbdg.org/FFC/AF/AFMAN/141393_Scanner_Building_BMEWS.pdf</t>
  </si>
  <si>
    <t>Facility designed to provide search and radar for the joint surveillance system which supports the air defense system of North America.</t>
  </si>
  <si>
    <t>‌https://www.wbdg.org/FFC/AF/AFMAN/141411_Radome_Tower_Building.pdf</t>
  </si>
  <si>
    <t>Facility that houses search and height radars for the joint surveillance system (JSS) which supports the air defense system of North America.</t>
  </si>
  <si>
    <t>‌https://www.wbdg.org/FFC/AF/AFMAN/141421_Radar_Tower_Building.pdf</t>
  </si>
  <si>
    <t>Facility that houses command and control elements for the Joint Surveillance System (JSS). The JSS provides for air sovereignty and air defense of North America.</t>
  </si>
  <si>
    <t>‌https://www.wbdg.org/FFC/AF/AFMAN/141447_Direction_Center_Facility.pdf</t>
  </si>
  <si>
    <t>Facility designed to house the base flight operational functions, and typically includes a waiting room, administration, flight kitchen, snack bar, and support areas.</t>
  </si>
  <si>
    <t>‌https://www.wbdg.org/FFC/AF/AFMAN/141453_Base_Operations_Airfield_Mgt_Weather_etc.pdf</t>
  </si>
  <si>
    <t>‌https://www.wbdg.org/FFC/AF/AFMAN/141455_Ordnance_Control_Point.pdf</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</si>
  <si>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</si>
  <si>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</si>
  <si>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</si>
  <si>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</si>
  <si>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</si>
  <si>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This category code identifies those systems that make up atmospheric assessments supporting the tactical warning system for North America.</t>
  </si>
  <si>
    <t>‌https://www.wbdg.org/FFC/AF/AFMAN/141481_Aircraft_Control_and_Warning_Operations_Dewline.pdf</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</si>
  <si>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</si>
  <si>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</si>
  <si>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Facility designed to support activities and equipment involved in taking upper air observations to measure pressure, temperature, humidity, and winds from surface to 100,000 feet.</t>
  </si>
  <si>
    <t>‌https://www.wbdg.org/FFC/AF/AFMAN/141626_Weather_RAWINSONDE_Building.pdf</t>
  </si>
  <si>
    <t>‌https://www.wbdg.org/FFC/AF/AFMAN/141627_Weather_Instrument_Building.pdf</t>
  </si>
  <si>
    <t>Weather observation sites not located in either base operations or control tower.</t>
  </si>
  <si>
    <t>‌https://www.wbdg.org/FFC/AF/AFMAN/141629_Surface_Weather_Observing_Facility.pdf</t>
  </si>
  <si>
    <t>Facility that includes the rocket sonde systems which include an explosive storage radar dome, launch control building, and building support.</t>
  </si>
  <si>
    <t>‌https://www.wbdg.org/FFC/AF/AFMAN/141635_Rocket_Sonde_Container_Building.pdf</t>
  </si>
  <si>
    <t>Facility designed to provide photography and other visual services in support of housekeeping management, information, and operational functions of base organizations, including tenants.</t>
  </si>
  <si>
    <t>‌https://www.wbdg.org/FFC/AF/AFMAN/141743_Base_Photo_Laboratory.pdf</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</si>
  <si>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</si>
  <si>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</si>
  <si>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Support facility for the WS-430B tactical reconnaissance photographic mission when used for long term operations.</t>
  </si>
  <si>
    <t>‌https://www.wbdg.org/FFC/AF/AFMAN/141747_Photo_Processing_and_Interpretation_Facility_Support_Building.pdf</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</si>
  <si>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</si>
  <si>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</si>
  <si>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‌http://www.wbdg.org/FFC/AF/AFMAN/141762_Embedded_Software_Integration_Facility.pdf</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</si>
  <si>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</si>
  <si>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</si>
  <si>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</si>
  <si>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</si>
  <si>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‌https://www.wbdg.org/FFC/AF/AFMAN/141765_Depo_%20Quality_Control_Laboratory.pdf</t>
  </si>
  <si>
    <t>‌https://www.wbdg.org/FFC/AF/AFMAN/141766_Technical_Laboratory_Liquid_Fuels_Anaysis.pdf</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</si>
  <si>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</si>
  <si>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</si>
  <si>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Facility designed to expedite the flow of air passengers as well as air freight cargo.</t>
  </si>
  <si>
    <t>‌https://www.wbdg.org/FFC/AF/AFMAN/141783_Air_Freight_Passenger_Terminal.pdf</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</si>
  <si>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</si>
  <si>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</si>
  <si>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</si>
  <si>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</si>
  <si>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This facility is a deployment processing facility used for the flow of deploying troops.</t>
  </si>
  <si>
    <t>‌https://www.wbdg.org/FFC/AF/AFMAN/141786_Deployment_Processing_Facility.pdf</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</si>
  <si>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</si>
  <si>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</si>
  <si>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https://www.wbdg.org/FFC/AF/AFMAN/141821_Material_Processing_Depot.pdf</t>
  </si>
  <si>
    <t>This facility houses missile operations squadrons, and strategic missile wing deputy for operations personnel that perform administrative, training and briefing functions.</t>
  </si>
  <si>
    <t>‌https://www.wbdg.org/FFC/AF/AFMAN/141911_Missile_Operations_Building.pdf</t>
  </si>
  <si>
    <t>This facility is used to house re-entry vehicles, penetrations aids, payload mounting platforms, and aerodynamic shrouds are assembled into re-entry system packages for ICBMS.</t>
  </si>
  <si>
    <t>‌https://www.wbdg.org/FFC/AF/AFMAN/141912_Re_Entry_Vehicle_Building.pdf</t>
  </si>
  <si>
    <t>AGENA tank farms used for missile hypergolic.</t>
  </si>
  <si>
    <t>Missile support facility that has full control of the missile system.</t>
  </si>
  <si>
    <t>‌https://www.wbdg.org/FFC/AF/AFMAN/141914_Missile_Guidance_Facility.pdf</t>
  </si>
  <si>
    <t>Identifies those facilities containing rail lines in which the ICBM is transferred from container vehicle to transporter erector vehicle or vice-versa.</t>
  </si>
  <si>
    <t>‌https://www.wbdg.org/FFC/AF/AFMAN/141915_Missile_Transfer_Building.pdf</t>
  </si>
  <si>
    <t>A building containing functions that are directly related to ship operations</t>
  </si>
  <si>
    <t>‌https://www.wbdg.org/FFC/AF/AFMAN/143199_Ship_Operations_Building.pdf</t>
  </si>
  <si>
    <t>BOX/CRATE SHOP</t>
  </si>
  <si>
    <t>‌https://www.wbdg.org/FFC/AF/AFMAN/144321_Box_Crate_Shop.pdf</t>
  </si>
  <si>
    <t>‌https://www.wbdg.org/FFC/AF/AFMAN/144401_Vehicle_Holding_Building.pdf</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</si>
  <si>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</si>
  <si>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</si>
  <si>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</si>
  <si>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</si>
  <si>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</si>
  <si>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</si>
  <si>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</si>
  <si>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</si>
  <si>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</si>
  <si>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</si>
  <si>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</si>
  <si>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‌https://www.wbdg.org/FFC/AF/AFMAN/146601_Aircraft_Sunshelter.pdf</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</si>
  <si>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</si>
  <si>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</si>
  <si>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</si>
  <si>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</si>
  <si>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</si>
  <si>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‌http://www.wbdg.org/FFC/AF/AFMAN/149511_Pilotless_Aircraft_Guidance_Station.pdf</t>
  </si>
  <si>
    <t>Missile Launch Facility - This is an underground facility containing an ICBM (Minuteman or Peacekeeper) and support equipment necessary to launch the missile.</t>
  </si>
  <si>
    <t>‌https://www.wbdg.org/FFC/AF/AFMAN/149512_Missile_Launch_Facility.pdf</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</si>
  <si>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</si>
  <si>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</si>
  <si>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‌http://www.wbdg.org/FFC/AF/AFMAN/149621_Wind_Measuring_Set.pdf</t>
  </si>
  <si>
    <t>The ceilometers/rotating beam set continually measures and displays cloud height. It consists of a projector, detector and indicator.</t>
  </si>
  <si>
    <t>‌http://www.wbdg.org/FFC/AF/AFMAN/149622_Ceilometer_Rotating_Beacon.pdf</t>
  </si>
  <si>
    <t>‌http://www.wbdg.org/FFC/AF/AFMAN/149623_Transmissometer.pdf</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</si>
  <si>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</si>
  <si>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</si>
  <si>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This digital system is authorized on each station supporting category II flying operation and replaces the AN/GMQ-11/20 set.</t>
  </si>
  <si>
    <t>‌http://www.wbdg.org/FFC/AF/AFMAN/149625_Digital_Wind_Measuring_System.pdf</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</si>
  <si>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</si>
  <si>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</si>
  <si>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This facility consists of radar set AN/FPS-77 or FPQ-21, A C-Band search radar that provides range, azimuth and elevation data on precipitation areas within 200 miles of the station.</t>
  </si>
  <si>
    <t>‌http://www.wbdg.org/FFC/AF/AFMAN/149627_Radar_Meteorological_Set.pdf</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</si>
  <si>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</si>
  <si>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</si>
  <si>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</si>
  <si>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</si>
  <si>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</si>
  <si>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</si>
  <si>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</si>
  <si>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</si>
  <si>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</si>
  <si>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An area for testing and evaluating wheeled and tracked vehicle performance. The track may have banked curves and steep hills.</t>
  </si>
  <si>
    <t>‌https://www.wbdg.org/FFC/AF/AFMAN/149921_Vehicle_Test_Track.pdf</t>
  </si>
  <si>
    <t>A control tower is authorized for each installation where it is not provided with the base operations building.</t>
  </si>
  <si>
    <t>‌https://www.wbdg.org/FFC/AF/AFMAN/149962_Air_Traffic_Control_Tower.pdf</t>
  </si>
  <si>
    <t>This identifies those structures (Towers) used to elevate a radar dome upward into the air for purpose of gathering weather data. The radar dome is not real property.</t>
  </si>
  <si>
    <t>‌https://www.wbdg.org/FFC/AF/AFMAN/149965_Radar_Tower.pdf</t>
  </si>
  <si>
    <t>This identifies those towers used by personnel during a training exercise, observation of troop movement, aircraft, etc.</t>
  </si>
  <si>
    <t>‌https://www.wbdg.org/FFC/AF/AFMAN/149967_Observation_Tower.pdf</t>
  </si>
  <si>
    <t>This identifies those towers constructed for special projects that do not fall readily into another category.</t>
  </si>
  <si>
    <t>‌https://www.wbdg.org/FFC/AF/AFMAN/149968_Special_Tower.pdf</t>
  </si>
  <si>
    <t>This identifies those structures built to extend from land out over water for the purpose of loading or unloading of lading or freight from a ship or boat.</t>
  </si>
  <si>
    <t>‌https://www.wbdg.org/FFC/AF/AFMAN/151153_Cargo_PIer.pdf</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</si>
  <si>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</si>
  <si>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</si>
  <si>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</si>
  <si>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</si>
  <si>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</si>
  <si>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</si>
  <si>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</si>
  <si>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</si>
  <si>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</si>
  <si>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</si>
  <si>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Structure designed for holding or storing cargo that is in-transit and waiting shipment to other locations. Space is provided for moving equipment and administrative space.</t>
  </si>
  <si>
    <t>‌https://www.wbdg.org/FFC/AF/AFMAN/159353_Warehouse_Transit_Cargo.pdf</t>
  </si>
  <si>
    <t>‌https://www.wbdg.org/FFC/AF/AFMAN/163311_Liquid_Fuel_Off_Shore_Unloading_Facility.pdf</t>
  </si>
  <si>
    <t>This facility consists of a concrete revetment wall, lighted beacons, channel markers, and/or moorings.</t>
  </si>
  <si>
    <t>‌https://www.wbdg.org/FFC/AF/AFMAN/164211_Harbor_and_Coastal_Marine_Improvements.pdf</t>
  </si>
  <si>
    <t>ARMORY</t>
  </si>
  <si>
    <t>https://www.wbdg.org/FFC/AF/AFMAN/171141_Armory.pdf</t>
  </si>
  <si>
    <t>This identifies those large classrooms used by educational professors to conduct lectures during cadet classes. It also consists of all visual aid equipment needed to conduct these lectures.</t>
  </si>
  <si>
    <t>‌https://www.wbdg.org/FFC/AF/AFMAN/171152_Academic_Lecture_Hall.pdf</t>
  </si>
  <si>
    <t>This facility is used as a museum for the purpose of housing and placing on exhibit equipment of foreign origin that are used as training aids.</t>
  </si>
  <si>
    <t>https://www.wbdg.org/FFC/AF/AFMAN/171155_Academic_Exhibit_Facility.pdf</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</si>
  <si>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</si>
  <si>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</si>
  <si>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</si>
  <si>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</si>
  <si>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‌https://www.wbdg.org/FFC/AF/AFMAN/171211_Flight_Training_Classroom.pdf</t>
  </si>
  <si>
    <t>This facility houses aircraft flight simulators and other special training devices. It also includes space for admin and records, classrooms, toilet facilities, trainer maintenance and storage.</t>
  </si>
  <si>
    <t>‌https://www.wbdg.org/FFC/AF/AFMAN/171212_Flight_Simulator_Training.pdf</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</si>
  <si>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</si>
  <si>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</si>
  <si>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</si>
  <si>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</si>
  <si>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This facility is used to conduct presentations of the solar system. Includes an optical device that projects various celestial images and effects, cadet navigational training classes are also conducted along with solar system presentations to visitors.</t>
  </si>
  <si>
    <t>This facility supports various ANG and AF Reserve non-flying units including medical service squadrons, combat logistics support squadrons, and weapons systems security flights.</t>
  </si>
  <si>
    <t>‌https://www.wbdg.org/FFC/AF/AFMAN/171443_Reserve_Forces_General_training_Support.pdf</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</si>
  <si>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</si>
  <si>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</si>
  <si>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</si>
  <si>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</si>
  <si>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</si>
  <si>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</si>
  <si>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</si>
  <si>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</si>
  <si>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This identifies those facilities used for the operation, maintenance and storage function associated with aircraft bombing ranges.</t>
  </si>
  <si>
    <t>https://www.wbdg.org/FFC/AF/AFMAN/171471_Range_Control_House.pdf</t>
  </si>
  <si>
    <t>This facility provides secure storage space for miscellaneous supplies, tools and equipment used to support small arm ranges and aircraft ranges.</t>
  </si>
  <si>
    <t>https://www.wbdg.org/FFC/AF/AFMAN/171472_Range_Supplies_and_Equipment_Storage.pdf</t>
  </si>
  <si>
    <t>Provides space for storage and repair of targets used at small arms and aircraft ranges. Items stored include targets, target construction and repair material, workbenches and tables.</t>
  </si>
  <si>
    <t>https://www.wbdg.org/FFC/AF/AFMAN/171473_Range_Target_Storage_and_Repair.pdf</t>
  </si>
  <si>
    <t>https://www.wbdg.org/FFC/AF/AFMAN/171475_Indoor_Small_Arms_Range.pdf</t>
  </si>
  <si>
    <t>https://www.wbdg.org/FFC/AF/AFMAN/171476_Combat_Arms_Bldg.pdf</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</si>
  <si>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</si>
  <si>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</si>
  <si>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‌https://www.wbdg.org/FFC/AF/AFMAN/171618_Field_Training_Facility.pdf</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</si>
  <si>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</si>
  <si>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</si>
  <si>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‌https://www.wbdg.org/FFC/AF/AFMAN/171621_Technical_Training_Classroom.pdf</t>
  </si>
  <si>
    <t>This facility provides laboratory/shop space for training in subjects such as missile maintenance, electronics, weather, age management, radio and radar systems logistics training and other subjects.</t>
  </si>
  <si>
    <t>‌https://www.wbdg.org/FFC/AF/AFMAN/171625_High_Bay_Technical_Training.pdf</t>
  </si>
  <si>
    <t>‌https://www.wbdg.org/FFC/AF/AFMAN/171627_Technical_Training_Support.pdf</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</si>
  <si>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</si>
  <si>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</si>
  <si>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‌https://www.wbdg.org/FFC/AF/AFMAN/171712_Target_Intelligence_Training.pdf</t>
  </si>
  <si>
    <t>‌https://www.wbdg.org/FFC/AF/AFMAN/171721_Organizational_Classroom.pdf</t>
  </si>
  <si>
    <t>‌https://www.wbdg.org/FFC/AF/AFMAN/171813_Safety_Education_Facility.pdf</t>
  </si>
  <si>
    <t>‌https://www.wbdg.org/FFC/AF/AFMAN/171815_NCO_Professional_Military_Education.pdf</t>
  </si>
  <si>
    <t>These facilities are used for in processing for basic training programs for officers.</t>
  </si>
  <si>
    <t>https://www.wbdg.org/FFC/AF/AFMAN/171822_Recruit_Processing.pdf</t>
  </si>
  <si>
    <t>Facility designed to support the Airman basic training program. Functional space areas include administrative offices, classrooms, laboratories, and building support areas.</t>
  </si>
  <si>
    <t>‌https://www.wbdg.org/FFC/AF/AFMAN/171833_Basic_Military_Training.pdf</t>
  </si>
  <si>
    <t>Facility housing functions related to or in direct support of the officer training program.</t>
  </si>
  <si>
    <t>‌https://www.wbdg.org/FFC/AF/AFMAN/171844_Officer_Training.pdf</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</si>
  <si>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</si>
  <si>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</si>
  <si>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Educational support facility consisting of classrooms, laboratories, offices and educational functions necessary for training cadets in a university atmosphere.</t>
  </si>
  <si>
    <t>‌https://www.wbdg.org/FFC/AF/AFMAN/171853_US_Air_Force_Academy_%20Academic_Training.pd</t>
  </si>
  <si>
    <t>‌https://www.wbdg.org/FFC/AF/AFMAN/171873_Aerial_Port_Training_Facility.pdf</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</si>
  <si>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</si>
  <si>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</si>
  <si>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</si>
  <si>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</si>
  <si>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</si>
  <si>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</si>
  <si>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</si>
  <si>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</si>
  <si>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</si>
  <si>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</si>
  <si>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</si>
  <si>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</si>
  <si>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</si>
  <si>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</si>
  <si>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</si>
  <si>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</si>
  <si>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An area located within the training complex principally scheduled and used for mounted and/or dismounted map reading, terrain association, or navigational training.</t>
  </si>
  <si>
    <t>‌https://www.wbdg.org/FFC/AF/AFMAN/174121_Land_Navigational_Course.pdf</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</si>
  <si>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</si>
  <si>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</si>
  <si>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</si>
  <si>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</si>
  <si>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</si>
  <si>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</si>
  <si>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</si>
  <si>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</si>
  <si>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‌https://www.wbdg.org/FFC/AF/AFMAN/174322_Impact_Area_Dudded.pdf</t>
  </si>
  <si>
    <t>PARACHUTE DROP ZONE</t>
  </si>
  <si>
    <t>A cleared area suitable for the landing of personnel and/or equipment via parachute drop.</t>
  </si>
  <si>
    <t>‌https://www.wbdg.org/FFC/AF/AFMAN/174499_Parachute_Drop_Zone.pdf</t>
  </si>
  <si>
    <t>An area that provides open space for military ceremonies, outdoor training, conduct of physical tests, and exercises.</t>
  </si>
  <si>
    <t>‌https://www.wbdg.org/FFC/AF/AFMAN/174521_Parade_Drill_Field.pdf</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</si>
  <si>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</si>
  <si>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</si>
  <si>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</si>
  <si>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</si>
  <si>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</si>
  <si>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</si>
  <si>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</si>
  <si>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</si>
  <si>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</si>
  <si>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</si>
  <si>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</si>
  <si>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</si>
  <si>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</si>
  <si>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</si>
  <si>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</si>
  <si>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</si>
  <si>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</si>
  <si>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</si>
  <si>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</si>
  <si>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</si>
  <si>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</si>
  <si>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</si>
  <si>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</si>
  <si>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</si>
  <si>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</si>
  <si>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</si>
  <si>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</si>
  <si>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</si>
  <si>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</si>
  <si>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</si>
  <si>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</si>
  <si>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</si>
  <si>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</si>
  <si>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</si>
  <si>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</si>
  <si>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</si>
  <si>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</si>
  <si>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</si>
  <si>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</si>
  <si>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</si>
  <si>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</si>
  <si>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</si>
  <si>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</si>
  <si>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</si>
  <si>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</si>
  <si>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</si>
  <si>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</si>
  <si>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</si>
  <si>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</si>
  <si>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</si>
  <si>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</si>
  <si>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https://www.wbdg.org/FFC/AF/AFMAN/177710_Convoy_Live_Fire_Range_Entry_Control_Point.pdf</t>
  </si>
  <si>
    <t>https://www.wbdg.org/FFC/AF/AFMAN/178121_Hand_Grenade_Familiarization_Range.pdf</t>
  </si>
  <si>
    <t>A range used to qualify engineer individuals and units on tasks such as sapper, mine warfare, light demolition, and engineer weapon firing.</t>
  </si>
  <si>
    <t>https://www.wbdg.org/FFC/AF/AFMAN/178299_Engineer_Qualification_Range.pdf</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</si>
  <si>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</si>
  <si>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</si>
  <si>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This code includes mockup structures representing all or parts of ships, aircraft, tanks, or buildings for training personnel in skills such as disaster control, fire fighting, and equipment handling.</t>
  </si>
  <si>
    <t>https://www.wbdg.org/FFC/AF/AFMAN/179001_Training_Mock_Ups.pdf</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</si>
  <si>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</si>
  <si>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</si>
  <si>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</si>
  <si>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</si>
  <si>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</si>
  <si>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</si>
  <si>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A cleared river bank area for engineer units to practice fording water obstacles and erection and retrieval of floating bridging equipment.</t>
  </si>
  <si>
    <t>https://www.wbdg.org/FFC/AF/AFMAN/179023_Floating_Bridge_Site.pdf</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</si>
  <si>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</si>
  <si>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</si>
  <si>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</si>
  <si>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</si>
  <si>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</si>
  <si>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</si>
  <si>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</si>
  <si>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A training area that includes at least one structure used to practice rappelling (rope descent). The training area may also include modified towers for training in helicopter rappels.</t>
  </si>
  <si>
    <t>https://www.wbdg.org/FFC/AF/AFMAN/179027_Rappelling_Training_Area.pdf</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</si>
  <si>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</si>
  <si>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</si>
  <si>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</si>
  <si>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</si>
  <si>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</si>
  <si>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</si>
  <si>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</si>
  <si>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</si>
  <si>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</si>
  <si>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</si>
  <si>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</si>
  <si>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</si>
  <si>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</si>
  <si>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</si>
  <si>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</si>
  <si>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</si>
  <si>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</si>
  <si>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</si>
  <si>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https://www.wbdg.org/FFC/AF/AFMAN/179477_Grenade_Launcher_Range.pdf</t>
  </si>
  <si>
    <t>An open area designed to train air-crews in bombing, firing rockets and missiles, and the use of automatic weapons. The types of ranges include air to air, air to ground, and ground to air.</t>
  </si>
  <si>
    <t>https://www.wbdg.org/FFC/AF/AFMAN/179481_Range_Aircraft.pdf</t>
  </si>
  <si>
    <t>Facility designed to support the recurring proficiency training of fire suppression personnel permitting hot drills and simulated fires in structures, aircraft, and selected weapon systems.</t>
  </si>
  <si>
    <t>https://www.wbdg.org/FFC/AF/AFMAN/179511_Fire_Fighter_Training_Facility.pdf</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</si>
  <si>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</si>
  <si>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</si>
  <si>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</si>
  <si>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</si>
  <si>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</si>
  <si>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</si>
  <si>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A range designed for training individual infiltration and combat movement techniques and then executing them while subject to live fire. No automation is required for this facility.</t>
  </si>
  <si>
    <t>https://www.wbdg.org/FFC/AF/AFMAN/179821_Infiltration_Course_Live_Fire.pdf</t>
  </si>
  <si>
    <t>https://www.wbdg.org/FFC/AF/AFMAN/179921_Confidence_Course.pdf</t>
  </si>
  <si>
    <t>https://www.wbdg.org/FFC/AF/AFMAN/179922_Leadership_Reaction_Course.pdf</t>
  </si>
  <si>
    <t>OBSTACLE COURSE</t>
  </si>
  <si>
    <t>https://www.wbdg.org/FFC/AF/AFMAN/179923_Obstacle_Course.pdf</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</si>
  <si>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</si>
  <si>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</si>
  <si>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This facility provides space for the performing bore sighting and harmonization on the fire control and reconnaissance equipment.</t>
  </si>
  <si>
    <t>‌https://www.wbdg.org/FFC/AF/AFMAN/211147_Bldg_Aircraft_Weapons_Calibrate.pdf</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</si>
  <si>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</si>
  <si>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</si>
  <si>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Facility designed for field level non-destructive inspection of aircraft components. The facility is typically 18 feet high with reinforced concrete walls supported on continuous footings.</t>
  </si>
  <si>
    <t>‌https://www.wbdg.org/FFC/AF/AFMAN/211153_Shop_Nondestructive_Inspection.pdf</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</si>
  <si>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</si>
  <si>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</si>
  <si>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</si>
  <si>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</si>
  <si>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</si>
  <si>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</si>
  <si>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This facility provides for fuel system maintenance and also includes system for mechanical ventilation, fume sensing and alarm, fire extinguishing, and wash down drainage trenches.</t>
  </si>
  <si>
    <t>‌https://www.wbdg.org/FFC/AF/AFMAN/211179_Fuel_System_Maintenance_Dock.pdf</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</si>
  <si>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</si>
  <si>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</si>
  <si>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</si>
  <si>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</si>
  <si>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</si>
  <si>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</si>
  <si>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</si>
  <si>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</si>
  <si>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</si>
  <si>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</si>
  <si>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</si>
  <si>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</si>
  <si>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Storage facilities for miscellaneous aircraft equipment/parts/goods, etc., will be provided only where it can be individually justified.</t>
  </si>
  <si>
    <t>‌https://www.wbdg.org/FFC/AF/AFMAN/211601_Maintenance_Aircraft_Spares_Storage.pdf</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</si>
  <si>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</si>
  <si>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</si>
  <si>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‌https://www.wbdg.org/FFC/AF/AFMAN/212213_Shop_Tactical_Missile_Glide_Weapon_Maint.pdf</t>
  </si>
  <si>
    <t>This category code identifies those areas where missiles are functionally tested.</t>
  </si>
  <si>
    <t>‌https://www.wbdg.org/FFC/AF/AFMAN/212215_Shop_Missile_Runup.pdf</t>
  </si>
  <si>
    <t>This category code identifies maintenance and service system area supporting air and ground equipment at missile sites.</t>
  </si>
  <si>
    <t>‌https://www.wbdg.org/FFC/AF/AFMAN/212216_Shop_Missile_Service.pdf</t>
  </si>
  <si>
    <t>This category code identifies those areas where missile warheads are assembled or maintained.</t>
  </si>
  <si>
    <t>‌https://www.wbdg.org/FFC/AF/AFMAN/212217_Shop_Missile_Warhead_Assem_and_Maint.pdf</t>
  </si>
  <si>
    <t>‌https://www.wbdg.org/FFC/AF/AFMAN/212219_Shop_Missile_Battery.pdf</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</si>
  <si>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</si>
  <si>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</si>
  <si>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Facility designed to provide maintenance, repair, and inspection of sub-scale drone aircraft. Functional space area includes an office and various shops (engine, electronics, sheet metal and pod shop).</t>
  </si>
  <si>
    <t>‌https://www.wbdg.org/FFC/AF/AFMAN/212252_Shop_Pilotless_Aircraft.pdf</t>
  </si>
  <si>
    <t>This category code identifies those area or waterside locations where boats are stored.</t>
  </si>
  <si>
    <t>‌https://www.wbdg.org/FFC/AF/AFMAN/213332_Boat_Storage.pdf</t>
  </si>
  <si>
    <t>‌https://www.wbdg.org/FFC/AF/AFMAN/213363_Shop_Marine_Maint.pdf</t>
  </si>
  <si>
    <t>This category code identifies those railway tracks that run along the docks and concrete ramps to the water’s edge of a waterfront harbor/marina.</t>
  </si>
  <si>
    <t>‌https://www.wbdg.org/FFC/AF/AFMAN/213436_Marine_Railway.pdf</t>
  </si>
  <si>
    <t>A facility designed to support ship component maintenance, repair, and inspection activities.</t>
  </si>
  <si>
    <t>‌https://www.wbdg.org/FFC/AF/AFMAN/213499_Marine_Main_Supp_Fac.pdf</t>
  </si>
  <si>
    <t>‌https://www.wbdg.org/FFC/AF/AFMAN/214422_Vehicle_Service_Rack.pdf</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</si>
  <si>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</si>
  <si>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</si>
  <si>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https://www.wbdg.org/FFC/AF/AFMAN/214426_Vehicle_Ops_Heated_Parking.pdf</t>
  </si>
  <si>
    <t>https://www.wbdg.org/FFC/AF/AFMAN/214428_Vehicle_Ops_Parking_Shed.pdf</t>
  </si>
  <si>
    <t>Blast hardened facility constructed of cast in place concrete that gives protection to refueling vehicles in areas where this threat exists.</t>
  </si>
  <si>
    <t>‌https://www.wbdg.org/FFC/AF/AFMAN/214429_Refueling_Vehicle_Hardened_Shelter.pdf</t>
  </si>
  <si>
    <t>Facility designed to house tank units and hydrant hose trucks that do not require servicing in maintenance shops with other vehicular equipment.</t>
  </si>
  <si>
    <t>https://www.wbdg.org/FFC/AF/AFMAN/214467_Shop_Refueling_Vehicle.pdf</t>
  </si>
  <si>
    <t>An underground pit system coupled with an above ground control room used to test the integrity of transporter/erector and payload transporter vehicles.</t>
  </si>
  <si>
    <t>https://www.wbdg.org/FFC/AF/AFMAN/214469_Transporter_Erector_Test_Fac.pdf</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</si>
  <si>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</si>
  <si>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</si>
  <si>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</si>
  <si>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</si>
  <si>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</si>
  <si>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</si>
  <si>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</si>
  <si>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</si>
  <si>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‌https://www.wbdg.org/FFC/AF/AFMAN/215582_Shop_Surveillance_and_Inspect.pdf</t>
  </si>
  <si>
    <t>Electronic Countermeasure Facility (ECM) designed to perform organizational and intermediate maintenance and provide secure storage of aircraft ECM Pods and associated equipment.</t>
  </si>
  <si>
    <t>‌https://www.wbdg.org/FFC/AF/AFMAN/217713_ECM_Pod_Shop_and_Storage.pdf</t>
  </si>
  <si>
    <t>Facility designed to provide maintenance and service to communications systems supporting missile sites.</t>
  </si>
  <si>
    <t>‌https://www.wbdg.org/FFC/AF/AFMAN/217722_Shop_ICBM_Tactical_Air_Ctrl_Communications_Elect.pdf</t>
  </si>
  <si>
    <t>Facility designed to provide repair, overhaul and testing of electrical aircraft accessories and components, drive motors, switches, circuit protection devices, and wiring.</t>
  </si>
  <si>
    <t>‌https://www.wbdg.org/FFC/AF/AFMAN/217735_Shop_Electrical_Overhaul_and_Test_Depot.pdf</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</si>
  <si>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</si>
  <si>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</si>
  <si>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Facility designed for centralized field repair of communications/electronics equipment.</t>
  </si>
  <si>
    <t>‌https://www.wbdg.org/FFC/AF/AFMAN/217742_AF_Communications_Service_Maint_Fac.pdf</t>
  </si>
  <si>
    <t>Facility designed for maintaining meteorological equipment used by air weather service detachments.</t>
  </si>
  <si>
    <t>‌https://www.wbdg.org/FFC/AF/AFMAN/217752_Meteorological_Equipment_Shop.pdf</t>
  </si>
  <si>
    <t>Facility designed for providing field and periodic maintenance and repair of navigational aids. The main functional space areas include administrative and shop space.</t>
  </si>
  <si>
    <t>‌https://www.wbdg.org/FFC/AF/AFMAN/217762_Shop_Navigational_Aids.pdf</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</si>
  <si>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</si>
  <si>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</si>
  <si>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‌https://www.wbdg.org/FFC/AF/AFMAN/218122_General_Item_Rpr_Shop_DOL_DPW_IMMA_IMMD.pdf</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</si>
  <si>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</si>
  <si>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A facility designed to house installation support equipment maintenance, repair, and inspection activities.</t>
  </si>
  <si>
    <t>‌https://www.wbdg.org/FFC/AF/AFMAN/218299_Installation_Spt_Equipment_Maint_Shop.pdf</t>
  </si>
  <si>
    <t>This facility is used to maintain and hold in readiness powered aircraft support equipment.</t>
  </si>
  <si>
    <t>‌https://www.wbdg.org/FFC/AF/AFMAN/218712_Aircraft_Spt_Equip_Shop_Storage_Fac.pdf</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</si>
  <si>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</si>
  <si>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</si>
  <si>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This facility will provide space to accommodate one locomotive with work area. This space is for organizational, field and preventive maintenance which must be done under cover.</t>
  </si>
  <si>
    <t>‌https://www.wbdg.org/FFC/AF/AFMAN/218842_Shop_and_Shelter_for_Locomotives.pdf</t>
  </si>
  <si>
    <t>‌https://www.wbdg.org/FFC/AF/AFMAN/218852_Shop_Survival_Equipment.pdf</t>
  </si>
  <si>
    <t>This facility provides space for field level maintenance and calibration of precision measure equipment for assigned, tenet and on base units.</t>
  </si>
  <si>
    <t>‌https://www.wbdg.org/FFC/AF/AFMAN/218868_Precision_Measurement_Equipment_Laboratory.pdf</t>
  </si>
  <si>
    <t>Facility designed for maintenance of various pieces of heavy equipment used by the pavements and grounds section of Base Civil Engineering.</t>
  </si>
  <si>
    <t>‌https://www.wbdg.org/FFC/AF/AFMAN/219943_Base_Civil_Eng_Pavements_and_Grounds_Fac.pdf</t>
  </si>
  <si>
    <t>‌https://www.wbdg.org/FFC/AF/AFMAN/219944_Base_Eng_Maint_Shop.pdf</t>
  </si>
  <si>
    <t>Facility designed for upkeep and maintenance of the base hospital. The facility is usually located either adjacent or inside the hospital building itself.</t>
  </si>
  <si>
    <t>‌https://www.wbdg.org/FFC/AF/AFMAN/219945_Base_Engineer_Hosp_Maint_Shop.pdf</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</si>
  <si>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</si>
  <si>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</si>
  <si>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</si>
  <si>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</si>
  <si>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Facility designed for manufacture, assembly, test, overhaul, and support of aircraft, aircraft systems, components and support equipment.</t>
  </si>
  <si>
    <t>‌https://www.wbdg.org/FFC/AF/AFMAN/221221_Production_Aircraft.pdf</t>
  </si>
  <si>
    <t>Facility designed for manufacture, assembly, test, overhaul, and support of aircraft and air vehicle engines, engine subsystem, components, and support equipment.</t>
  </si>
  <si>
    <t>‌https://www.wbdg.org/FFC/AF/AFMAN/221222_Production_Engines.pdf</t>
  </si>
  <si>
    <t>Facility designed for manufacture, assembly, test, overhaul, and support of missiles, rocket motors, propellants, fuel oxidizers, missile subsystems, components, and support equipment.</t>
  </si>
  <si>
    <t>‌https://www.wbdg.org/FFC/AF/AFMAN/222222_Production_Missiles.pdf</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</si>
  <si>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</si>
  <si>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</si>
  <si>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Facility designed for manufacture, assembly, test, overhaul and support of electronics and communications systems, subsystems, components, and support equipment.</t>
  </si>
  <si>
    <t>‌https://www.wbdg.org/FFC/AF/AFMAN/227227_Production_Electronics_and_Comm_Equip.pdf</t>
  </si>
  <si>
    <t>Facility designed for manufacture, assembly, test, overhaul and support of space systems, subsystems, components, and support equipment.</t>
  </si>
  <si>
    <t>‌https://www.wbdg.org/FFC/AF/AFMAN/227228_Production_Space_Systems.pdf</t>
  </si>
  <si>
    <t>Facility designed for manufacture, assembly, test, overhaul and support of items and equipment not covered in other production category codes.</t>
  </si>
  <si>
    <t>‌https://www.wbdg.org/FFC/AF/AFMAN/228228_Production_Misc_Items_and_Equipment.pdf</t>
  </si>
  <si>
    <t>A batching plant producing asphalt for use in building construction. This facility is normally the property of the Base Civil Engineer.</t>
  </si>
  <si>
    <t>‌https://www.wbdg.org/FFC/AF/AFMAN/229982_Asphalt_Plant.pdf</t>
  </si>
  <si>
    <t>A batching plant for the production of concrete ready mix for use in building construction. This facility is normally the property of the Base Civil Engineer.</t>
  </si>
  <si>
    <t>‌https://www.wbdg.org/FFC/AF/AFMAN/229984_Concrete_Plant.pdf</t>
  </si>
  <si>
    <t>Facility designed for the purpose of producing liquid oxygen for fuels or medical use.</t>
  </si>
  <si>
    <t>‌https://www.wbdg.org/FFC/AF/AFMAN/229986_Oxygen_Generating_Plant.pdf</t>
  </si>
  <si>
    <t>Facility designed for the purpose of crushing rock.</t>
  </si>
  <si>
    <t>‌https://www.wbdg.org/FFC/AF/AFMAN/229987_Rock_Crushing_Plant.pdf</t>
  </si>
  <si>
    <t>Facility used to conduct research on atmospheric transmission codes, atmospheric turbulence, and infrared backgrounds of space and the atmosphere.</t>
  </si>
  <si>
    <t>‌https://www.wbdg.org/FFC/AF/AFMAN/310911_Physics_Science_Laboratories.pdf</t>
  </si>
  <si>
    <t>Laboratory designed to test for corrosion potential with chemical reaction. Space is provided for testing and storage of explosives.</t>
  </si>
  <si>
    <t>‌https://www.wbdg.org/FFC/AF/AFMAN/310912_Sonic_Science_Laboratories.pdf</t>
  </si>
  <si>
    <t>Laboratory designed for testing of physical and chemical constitution of celestial matter in conjunction with cadet studies.</t>
  </si>
  <si>
    <t>‌https://www.wbdg.org/FFC/AF/AFMAN/310913_Astrophysics_Science_Laboratories.pdf</t>
  </si>
  <si>
    <t>Facility designed for the research of advanced development programs for manpower, personnel, operational, and technical training, simulation and logistics systems.</t>
  </si>
  <si>
    <t>‌https://www.wbdg.org/FFC/AF/AFMAN/310914_Personnel_Research_Science_Laboratories.pdf</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</si>
  <si>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</si>
  <si>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</si>
  <si>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</si>
  <si>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</si>
  <si>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</si>
  <si>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</si>
  <si>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Facility designed for research activities in geodesy and gravity, to include techniques for satellite positioning and orbit determination.</t>
  </si>
  <si>
    <t>‌https://www.wbdg.org/FFC/AF/AFMAN/310919_Geophysics_Science_Laboratories.pdf</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</si>
  <si>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</si>
  <si>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</si>
  <si>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Facility designed for research activities in the field of human engineering.</t>
  </si>
  <si>
    <t>‌https://www.wbdg.org/FFC/AF/AFMAN/310922_Human_Engineering_Science_Laboratories.pdf</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</si>
  <si>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</si>
  <si>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</si>
  <si>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Facility designed for research activities in the field of radiation hardened electronics. The laboratory is capable of simulating both nuclear and space radiation environments.</t>
  </si>
  <si>
    <t>‌https://www.wbdg.org/FFC/AF/AFMAN/310924_Radiation_Science_Laboratories.pdf</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</si>
  <si>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</si>
  <si>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</si>
  <si>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Facility designed for testing weapons and weapon systems in extreme environmental conditions, simulating extreme heat or cold.</t>
  </si>
  <si>
    <t>‌https://www.wbdg.org/FFC/AF/AFMAN/310926_Dynamics_Environment_Science_Laboratories.pdf</t>
  </si>
  <si>
    <t>This facility conducts numerical simulation of weather patterns, interactive computer programs for cloud analysis and forecasting and climatic extremes for military equipment.</t>
  </si>
  <si>
    <t>‌https://www.wbdg.org/FFC/AF/AFMAN/310927_Meteorology_Science_Laboratories.pdf</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</si>
  <si>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</si>
  <si>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</si>
  <si>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</si>
  <si>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</si>
  <si>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</si>
  <si>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</si>
  <si>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</si>
  <si>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</si>
  <si>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</si>
  <si>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</si>
  <si>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This category code is used at air force industrial plants for the development and testing of surety engines.</t>
  </si>
  <si>
    <t>‌https://www.wbdg.org/FFC/AF/AFMAN/310943_Nuclear_Engineering_Test_Building.pdf</t>
  </si>
  <si>
    <t>Facility designed for integration research, development and testing of aircraft or space vehicle dynamic characteristics including landing gear.</t>
  </si>
  <si>
    <t>‌https://www.wbdg.org/FFC/AF/AFMAN/311114_Aircraft_Dynamic_Research_Engineering.pdf</t>
  </si>
  <si>
    <t>Facility designed for research and test programs pertaining to dynamics.</t>
  </si>
  <si>
    <t>‌https://www.wbdg.org/FFC/AF/AFMAN/311115_Aircraft_Dynamic_Research_Test.pdf</t>
  </si>
  <si>
    <t>Facility designed for research and testing of new aircraft weapon systems.</t>
  </si>
  <si>
    <t>‌https://www.wbdg.org/FFC/AF/AFMAN/311171_Aircraft_Research_Laboratory.pdf</t>
  </si>
  <si>
    <t>Special purpose facilities designed to house scientists and engineers when supporting a large research and development program.</t>
  </si>
  <si>
    <t>‌https://www.wbdg.org/FFC/AF/AFMAN/311173_Aircraft_Research_Engineering.pdf</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</si>
  <si>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</si>
  <si>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</si>
  <si>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</si>
  <si>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</si>
  <si>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</si>
  <si>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</si>
  <si>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</si>
  <si>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</si>
  <si>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Special facility designed for the purpose of tracking, communicating with, or guiding satellites in space.</t>
  </si>
  <si>
    <t>‌https://www.wbdg.org/FFC/AF/AFMAN/312941_Satellite_Control_Station.pdf</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</si>
  <si>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</si>
  <si>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</si>
  <si>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</si>
  <si>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</si>
  <si>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</si>
  <si>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</si>
  <si>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Facility designed for research and assembly of various rocket stages for Peacekeeper Missile systems.</t>
  </si>
  <si>
    <t>‌https://www.wbdg.org/FFC/AF/AFMAN/315944_Weapons_Guidance_Laboratory.pdf</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</si>
  <si>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</si>
  <si>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</si>
  <si>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Laboratory designed for evaluation of electronic components before and after initial operation and parts replacement or modifications have been effected</t>
  </si>
  <si>
    <t>‌https://www.wbdg.org/FFC/AF/AFMAN/317311_Electronic_Research_Laboratory.pdf</t>
  </si>
  <si>
    <t>Facility designed for engineering support of guided weapons development and test activities. Laser, infrared and electro-optics research is also accomplished in this facility.</t>
  </si>
  <si>
    <t>‌https://www.wbdg.org/FFC/AF/AFMAN/317315_Electronic_Research_and_Engineering.pdf</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</si>
  <si>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</si>
  <si>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</si>
  <si>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Facility designed for simulated in-flight testing and evaluation of aircraft avionics.</t>
  </si>
  <si>
    <t>‌https://www.wbdg.org/FFC/AF/AFMAN/317932_Avionics_Research_Laboratory.pdf</t>
  </si>
  <si>
    <t>Facility designed for use as an aircraft engine test cell.</t>
  </si>
  <si>
    <t>‌https://www.wbdg.org/FFC/AF/AFMAN/318612_Propulsion_Research_Lab_Air_Breathing.pdf</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</si>
  <si>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</si>
  <si>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</si>
  <si>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Facility designed for special research on advanced state-of-the-art thrusters, contamination, lifetime reliability, and performance.</t>
  </si>
  <si>
    <t>‌https://www.wbdg.org/FFC/AF/AFMAN/318615_Propulsion_Research_Laboratory_Electric.pdf</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</si>
  <si>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</si>
  <si>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</si>
  <si>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Laboratory designed for accomplishing research on various types of aircraft equipment.</t>
  </si>
  <si>
    <t>‌https://www.wbdg.org/FFC/AF/AFMAN/319441_Equipment_Research_Laboratory.pdf</t>
  </si>
  <si>
    <t>Facility designed for housing engineering activities for system enhancement, and to resolve operational instrumentation problems.</t>
  </si>
  <si>
    <t>‌https://www.wbdg.org/FFC/AF/AFMAN/319442_Equipment_Research_Engineering.pdf</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</si>
  <si>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</si>
  <si>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</si>
  <si>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Facility designed for testing of physical properties of non-electronic materials. Air delivered incendiary munitions are also evaluated using this lab.</t>
  </si>
  <si>
    <t>‌https://www.wbdg.org/FFC/AF/AFMAN/319946_Material_Research_Test_Laboratory.pdf</t>
  </si>
  <si>
    <t>Facility designed for sled preparation and storage, testing munitions and munitions components under controlled conditions, and simulating high speeds and impact forces of aircraft delivered munitions.</t>
  </si>
  <si>
    <t>‌https://www.wbdg.org/FFC/AF/AFMAN/319951_Test_Track_Building.pdf</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</si>
  <si>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</si>
  <si>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</si>
  <si>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</si>
  <si>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</si>
  <si>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Facility designed for telemetry, tracking, and data acquisition of various operational missile systems. Does not include radar or optical instrumentation nor two-way communications systems.</t>
  </si>
  <si>
    <t>‌https://www.wbdg.org/FFC/AF/AFMAN/371475_Missile_Instrumentation_Station.pdf</t>
  </si>
  <si>
    <t>Facility designed for radar tracking and recording of launched missile systems.</t>
  </si>
  <si>
    <t>‌https://www.wbdg.org/FFC/AF/AFMAN/371484_Missile_Radar_Station.pdf</t>
  </si>
  <si>
    <t>‌https://www.wbdg.org/FFC/AF/AFMAN/371485_Missile_Theodolite_Station.pdf</t>
  </si>
  <si>
    <t>‌https://www.wbdg.org/FFC/AF/AFMAN/371486_Missile_Communications_Station.pdf</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</si>
  <si>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</si>
  <si>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</si>
  <si>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Facility designed for research, development and testing of aircraft components designed for speeds less than the speed of sound.</t>
  </si>
  <si>
    <t>‌https://www.wbdg.org/FFC/AF/AFMAN/390125_Aerodynamics_Wind_Tunnel_Subsonic.pdf</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</si>
  <si>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</si>
  <si>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</si>
  <si>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Facility designed for research, development and testing of aircraft, articles and models at transonic wind velocity to observe air flow and performance.</t>
  </si>
  <si>
    <t>‌https://www.wbdg.org/FFC/AF/AFMAN/390128_Aerodynamics_Wind_Tunnel_Transonic.pdf</t>
  </si>
  <si>
    <t>Facility designed for research, development and testing of radios and avionics equipment traveling at hypersonic speeds.</t>
  </si>
  <si>
    <t>‌https://www.wbdg.org/FFC/AF/AFMAN/390129_Aerodynamics_Wind_Tunnel_Hypersonic.pdf</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</si>
  <si>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</si>
  <si>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</si>
  <si>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Facility designed for testing and research on various kinds of aircraft.</t>
  </si>
  <si>
    <t>‌https://www.wbdg.org/FFC/AF/AFMAN/390171_Aircraft_Research_Testing.pdf</t>
  </si>
  <si>
    <t>‌https://www.wbdg.org/FFC/AF/AFMAN/390222_RDTandE_Range.pdf</t>
  </si>
  <si>
    <t>Underground instrumentation facility designed for static testing of conventional munitions, firearm ammunition, missile warheads, and fuel explosives.</t>
  </si>
  <si>
    <t>‌https://www.wbdg.org/FFC/AF/AFMAN/390224_Armament_Research_Testing_Structural.pdf</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</si>
  <si>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</si>
  <si>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</si>
  <si>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Facility designed as a target or tower for mobile laser projects.</t>
  </si>
  <si>
    <t>‌https://www.wbdg.org/FFC/AF/AFMAN/390381_Electronic_Research_Navaid.pdf</t>
  </si>
  <si>
    <t>‌https://www.wbdg.org/FFC/AF/AFMAN/39053_Missile_Launch_Test_Facility.pdf</t>
  </si>
  <si>
    <t>A stabilized or hard surfaced strip established primarily for the controlled landing of various glide capable missiles.</t>
  </si>
  <si>
    <t>‌https://www.wbdg.org/FFC/AF/AFMAN/390551_Missile_Landing_Test_Facility.pdf</t>
  </si>
  <si>
    <t>Facility designed to provide ready storage of propellants (liquid) at rocket test stands and component development stands.</t>
  </si>
  <si>
    <t>‌https://www.wbdg.org/FFC/AF/AFMAN/390562_Missile_Storage_Fuel.pdf</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</si>
  <si>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</si>
  <si>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</si>
  <si>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</si>
  <si>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</si>
  <si>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</si>
  <si>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</si>
  <si>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</si>
  <si>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</si>
  <si>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Facility designed for the purpose of testing, research, and development of communication systems of all kinds.</t>
  </si>
  <si>
    <t>‌https://www.wbdg.org/FFC/AF/AFMAN/390915_Research_Communications_Station_Complex.pdf</t>
  </si>
  <si>
    <t>Facility designed for the storage and dispensing of demineralized water for aircraft that require water injection as fuel augmentation for increased thrust.  (BL x 42 = GA)</t>
  </si>
  <si>
    <t>https://www.wbdg.org/FFC/AF/AFMAN/411123_Demineralized_Water_Storage.pdf</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</si>
  <si>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</si>
  <si>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</si>
  <si>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https://www.wbdg.org/FFC/AF/AFMAN/411128_Special_Liquids_Storage.pdf</t>
  </si>
  <si>
    <t>https://www.wbdg.org/FFC/AF/AFMAN/411131_Aviation_Gas_Storage.pdf</t>
  </si>
  <si>
    <t>https://www.wbdg.org/FFC/AF/AFMAN/411132_Aviation_Lubricant_Storage.pdf</t>
  </si>
  <si>
    <t>https://www.wbdg.org/FFC/AF/AFMAN/411134_Diesel_Fuel_Storage.pdf</t>
  </si>
  <si>
    <t>https://www.wbdg.org/FFC/AF/AFMAN/411135_Jet_Fuel_Storage.pdf</t>
  </si>
  <si>
    <t>https://www.wbdg.org/FFC/AF/AFMAN/411137_Storage_MOGAS.pdf</t>
  </si>
  <si>
    <t>https://www.wbdg.org/FFC/AF/AFMAN/411138_Storage_Solvents.pdf</t>
  </si>
  <si>
    <t>https://www.wbdg.org/FFC/AF/AFMAN/411139_Storage_Special_Fuel.pdf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</si>
  <si>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</si>
  <si>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</si>
  <si>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CUT-AND-COVER BULK LIQUID FUEL STORAGE</t>
  </si>
  <si>
    <t>https://www.wbdg.org/FFC/AF/AFMAN/411320_Cut_Cover_Liq_Fuel_Storage.pdf</t>
  </si>
  <si>
    <t>Facility designed to store munitions and explosives where many different rooms are required.</t>
  </si>
  <si>
    <t>https://www.wbdg.org/FFC/AF/AFMAN/422253_Storage_Multi_Cubicle_Magazine.pdf</t>
  </si>
  <si>
    <t>Facility designed for on-line storage and maintenance of 2.27 inch rockets and AIM 4 missiles in direct support of the combat mission.</t>
  </si>
  <si>
    <t>https://www.wbdg.org/FFC/AF/AFMAN/422256_Storage_Rocket_Check_Out_and_Assembly.pdf</t>
  </si>
  <si>
    <t>Facility designed for storing and segregating small quantities of explosives of different storage compatibility.</t>
  </si>
  <si>
    <t>https://www.wbdg.org/FFC/AF/AFMAN/422257_Storage_Segregated_Magazine.pdf</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</si>
  <si>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</si>
  <si>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</si>
  <si>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</si>
  <si>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</si>
  <si>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</si>
  <si>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</si>
  <si>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Facility designed for storage of inert spares. The facility is constructed in increments of 2500 SF as dictated by storage requirements. Construction is type N, unprotected non combustible.</t>
  </si>
  <si>
    <t>https://www.wbdg.org/FFC/AF/AFMAN/422265_Inert_Spares_Storage.pdf</t>
  </si>
  <si>
    <t>Facility designed for storage of large quantities of explosives where minimum land area exists and where steel arch earth covered igloos are not available for use.</t>
  </si>
  <si>
    <t>https://www.wbdg.org/FFC/AF/AFMAN/422271_Storage_Module_Barricaded.pdf</t>
  </si>
  <si>
    <t>Protected structures designed for use in austere areas.</t>
  </si>
  <si>
    <t>https://www.wbdg.org/FFC/AF/AFMAN/422273_Storage_Igloo_Steel_Arch.pdf</t>
  </si>
  <si>
    <t>https://www.wbdg.org/FFC/AF/AFMAN/422275_Ancillary_Explosives_Fac.pdf</t>
  </si>
  <si>
    <t>Open areas used for the storage of ammunition.</t>
  </si>
  <si>
    <t>https://www.wbdg.org/FFC/AF/AFMAN/425199_Open_Ammunition_Storage.pdf</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</si>
  <si>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</si>
  <si>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</si>
  <si>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Special facility designed for storage of hazardous materials manufactured or produced by the depot function.</t>
  </si>
  <si>
    <t>https://www.wbdg.org/FFC/AF/AFMAN/441257_Hazardous_Storage_Depot.pdf</t>
  </si>
  <si>
    <t>Special facility designed for storage of supplies and equipment solely used by air logistics centers (ALC's).</t>
  </si>
  <si>
    <t>https://www.wbdg.org/FFC/AF/AFMAN/441628_Shed_Supplies_and_Equip_Depot.pdf</t>
  </si>
  <si>
    <t>https://www.wbdg.org/FFC/AF/AFMAN/441758_Warehouse_Supplies_and_Equip_Depot.pdf</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</si>
  <si>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</si>
  <si>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</si>
  <si>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https://www.wbdg.org/FFC/AF/AFMAN/442258_Liquid_Oxygen_Storage.pdf</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</si>
  <si>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</si>
  <si>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</si>
  <si>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</si>
  <si>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</si>
  <si>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</si>
  <si>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</si>
  <si>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</si>
  <si>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</si>
  <si>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https://www.wbdg.org/FFC/AF/AFMAN/442628_Base_Supplies_and_Equip_Shed.pdf</t>
  </si>
  <si>
    <t>This facility is required for bulk and bin storage of materials for which maximum protection from the weather is authorized.</t>
  </si>
  <si>
    <t>https://www.wbdg.org/FFC/AF/AFMAN/442758_Warehouse_Supply_and_Equip_Base.pdf</t>
  </si>
  <si>
    <t>This facility is required to store non-perishable subsistence maintain to support dining halls and activities authorized to make charge sales.</t>
  </si>
  <si>
    <t>https://www.wbdg.org/FFC/AF/AFMAN/442765_Warehouse_Troop_Subsistence.pdf</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</si>
  <si>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</si>
  <si>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</si>
  <si>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This facility provides storage space to meet four types of requirements that are all related to the operation and occupancy of military family housing, dormitories, and officer quarters.</t>
  </si>
  <si>
    <t>https://www.wbdg.org/FFC/AF/AFMAN/442769_Housing_Supplies_and_Storage_Fac.pdf</t>
  </si>
  <si>
    <t>https://www.wbdg.org/FFC/AF/AFMAN/451134_Open_Storage_Depot.pdf</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</si>
  <si>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</si>
  <si>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</si>
  <si>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This facility is provided for open storage for base engineer activity such as space for construction materials and portable equipment that can with stand exposure to elements.</t>
  </si>
  <si>
    <t>https://www.wbdg.org/FFC/AF/AFMAN/452255_BCE_Open_Storage.pdf</t>
  </si>
  <si>
    <t>https://www.wbdg.org/FFC/AF/AFMAN/452258_Open_Storage%20Air_Freight_Traffic_Mgmt.pdf</t>
  </si>
  <si>
    <t>Holding or preparation areas used in support of research and development testing of aircraft and/or space vehicles.</t>
  </si>
  <si>
    <t>A single facility which integrates the total functional spaces of a base medical facility. Inpatient and Outpatient care needs are able to be met.</t>
  </si>
  <si>
    <t>https://www.wbdg.org/FFC/AF/AFMAN/510001_Composite_Medical_Facility.pdf</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</si>
  <si>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</si>
  <si>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</si>
  <si>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</si>
  <si>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</si>
  <si>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</si>
  <si>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</si>
  <si>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</si>
  <si>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</si>
  <si>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</si>
  <si>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</si>
  <si>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</si>
  <si>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</si>
  <si>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</si>
  <si>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</si>
  <si>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</si>
  <si>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</si>
  <si>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Medical space used for flight medicine, physical evaluation, bioenvironmental engineer, environmental health, hyperbaric medicine, and support space.</t>
  </si>
  <si>
    <t>https://www.wbdg.org/FFC/AF/AFMAN/510175_Aerospace_Medicine.pdf</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</si>
  <si>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</si>
  <si>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</si>
  <si>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</si>
  <si>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</si>
  <si>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</si>
  <si>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</si>
  <si>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</si>
  <si>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</si>
  <si>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</si>
  <si>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</si>
  <si>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Facility designed for medical nursing units, staging area, baggage room and ambulance/bus shelter space.</t>
  </si>
  <si>
    <t>https://www.wbdg.org/FFC/AF/AFMAN/510278_Aeromedical_Staging.pdf</t>
  </si>
  <si>
    <t>Medical space used for obstetrical service to include delivery rooms, labor, recovery, nursery and support areas.</t>
  </si>
  <si>
    <t>https://www.wbdg.org/FFC/AF/AFMAN/510342_Obstetrical_Service.pdf</t>
  </si>
  <si>
    <t>https://www.wbdg.org/FFC/AF/AFMAN/510411_Air_Force_Clinic.pdf</t>
  </si>
  <si>
    <t>SURGICAL SERVICE</t>
  </si>
  <si>
    <t>Medical space used for surgical services to include operating rooms, anesthesiology, recovery and support areas.</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</si>
  <si>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</si>
  <si>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</si>
  <si>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</si>
  <si>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https://www.wbdg.org/FFC/AF/AFMAN/510915_Patient_Welfare.pdf</t>
  </si>
  <si>
    <t>This category code identifies a facility which operates specimen collection, blood drawing, blood donor area, recovery, processing, and support space.</t>
  </si>
  <si>
    <t>https://www.wbdg.org/FFC/AF/AFMAN/530155_Blood_Processing_Lab.pdf</t>
  </si>
  <si>
    <t>Medical space designed for use as a radio immunoassay laboratory, gas chronograph, forensic medicine and documentation, technical support services, and building support area.</t>
  </si>
  <si>
    <t>https://www.wbdg.org/FFC/AF/AFMAN/530156_Drug_Abuse_Detection_Lab.pdf</t>
  </si>
  <si>
    <t>This category code identifies space used for data automation, consultant, analytical, technical, radiation services and support space.</t>
  </si>
  <si>
    <t>‌https://www.wbdg.org/FFC/AF/AFMAN/530411_Occup_Envir_Health_Lab.pdf</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</si>
  <si>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</si>
  <si>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</si>
  <si>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Medical space used for disease surveillance, medical entomology, epidemiology, and support space.</t>
  </si>
  <si>
    <t>https://www.wbdg.org/FFC/AF/AFMAN/530511_Clinical_Lab_Epidemiological.pdf</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</si>
  <si>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</si>
  <si>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</si>
  <si>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This facility supports three major functions which operate semi-autonomously from the parent base medical facility:  food inspection service, public health service, and medical service.</t>
  </si>
  <si>
    <t>https://www.wbdg.org/FFC/AF/AFMAN/530634_Medical_Food_Inspect.pdf</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</si>
  <si>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</si>
  <si>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</si>
  <si>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</si>
  <si>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</si>
  <si>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This facility is required to provide ambulatory care on an outpatient basis.</t>
  </si>
  <si>
    <t>https://www.wbdg.org/FFC/AF/AFMAN/550101_Outpatient_Ambulatory_Care_Clinic.pdf</t>
  </si>
  <si>
    <t>This facilities consists of medical space for administration, emergency service, mental health, occupational health service and ancillary support areas.</t>
  </si>
  <si>
    <t>https://www.wbdg.org/FFC/AF/AFMAN/550145_Occupational_Health_Clinic.pdf</t>
  </si>
  <si>
    <t>Facility with the primary purpose of providing emergency and ambulatory service. Most medical aid stations requirements are found overseas or at remote locations.</t>
  </si>
  <si>
    <t>https://www.wbdg.org/FFC/AF/AFMAN/550147_Medical_Aid_Station.pdf</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</si>
  <si>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</si>
  <si>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</si>
  <si>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</si>
  <si>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</si>
  <si>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</si>
  <si>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</si>
  <si>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</si>
  <si>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https://www.wbdg.org/FFC/AF/AFMAN/610121_Vehicle_Ops_Fac.pdf</t>
  </si>
  <si>
    <t>Facility designed for use as administrative offices that support the base supply organization.</t>
  </si>
  <si>
    <t>https://www.wbdg.org/FFC/AF/AFMAN/610122_Supply_Admin.pdf</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</si>
  <si>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</si>
  <si>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</si>
  <si>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</si>
  <si>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</si>
  <si>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https://www.wbdg.org/FFC/AF/AFMAN/610127_Base_Engineer_Admin.pdf</t>
  </si>
  <si>
    <t>This facility housing the military and civilian personnel administration and services function and where appropriate the education services function.</t>
  </si>
  <si>
    <t>https://www.wbdg.org/FFC/AF/AFMAN/610128_Base_Personnel_Off.pdf</t>
  </si>
  <si>
    <t>https://www.wbdg.org/FFC/AF/AFMAN/610129_Weapons_Sys_Maint_Mgmt_Fac.pdf</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</si>
  <si>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</si>
  <si>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</si>
  <si>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Facility designed for munitions maintenance squadron administrative and control functions.</t>
  </si>
  <si>
    <t>https://www.wbdg.org/FFC/AF/AFMAN/610144_Munition_Maint_Admin.pdf</t>
  </si>
  <si>
    <t>Squadron orderly room space is normally located in the building that serves as the Squadron’s principal place of work.</t>
  </si>
  <si>
    <t>https://www.wbdg.org/FFC/AF/AFMAN/610241_Orderly_Room_in_Dorm.pdf</t>
  </si>
  <si>
    <t>https://www.wbdg.org/FFC/AF/AFMAN/610243_HQ_Group.pdf</t>
  </si>
  <si>
    <t>https://www.wbdg.org/FFC/AF/AFMAN/610249_HQ_Wing.pdf</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</si>
  <si>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</si>
  <si>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</si>
  <si>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https://www.wbdg.org/FFC/AF/AFMAN/610282_Air_Force_HQ.pdf</t>
  </si>
  <si>
    <t>https://www.wbdg.org/FFC/AF/AFMAN/610284_Major_Command_HQ.pdf</t>
  </si>
  <si>
    <t>Facility designed to accommodate Numbered Air Force staff offices and their field extensions.</t>
  </si>
  <si>
    <t>https://www.wbdg.org/FFC/AF/AFMAN/610285_Numbered_Air_Force_HQ.pdf</t>
  </si>
  <si>
    <t>Facility designed to accommodate various headquarters named and numbered divisions staff offices.</t>
  </si>
  <si>
    <t>https://www.wbdg.org/FFC/AF/AFMAN/610286_HQ_Named_Numbered_Division.pdf</t>
  </si>
  <si>
    <t>https://www.wbdg.org/FFC/AF/AFMAN/610287_Specified_HQ.pdf</t>
  </si>
  <si>
    <t>Facility designed for storage, maintenance, and servicing of non-current official documentation having a retention period of 8 years or less.</t>
  </si>
  <si>
    <t>https://www.wbdg.org/FFC/AF/AFMAN/610311_Document_Staging_Fac.pdf</t>
  </si>
  <si>
    <t>Facility designed to house small animals or birds such as the USAFA mascot (Falcon). Also included are areas for raising and storing grain and other supplies for feeding the animals.</t>
  </si>
  <si>
    <t>‌https://www.wbdg.org/FFC/AF/AFMAN/610332_FARM_Facility.pdf</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</si>
  <si>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</si>
  <si>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</si>
  <si>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</si>
  <si>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</si>
  <si>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</si>
  <si>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</si>
  <si>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</si>
  <si>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</si>
  <si>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This category code identifies those facilities used for non-Air Force administrative space. This space can be used by, but not limited to the Army or Navy.</t>
  </si>
  <si>
    <t>https://www.wbdg.org/FFC/AF/AFMAN/610811_Admin_Office_Non_AF.pdf</t>
  </si>
  <si>
    <t>https://www.wbdg.org/FFC/AF/AFMAN/610915_AF_OSI.pdf</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</si>
  <si>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</si>
  <si>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</si>
  <si>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</si>
  <si>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</si>
  <si>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</si>
  <si>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This category code identifies staffs or poles on which a flag is displayed. This includes the base to which it is mounted.</t>
  </si>
  <si>
    <t>https://www.wbdg.org/FFC/AF/AFMAN/690432_Flag_Pole.pdf</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</si>
  <si>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</si>
  <si>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</si>
  <si>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This facility is used by reviewing authorities when performing a formal inspection of an organization. This facility is covered to protect the reviewing authority from adverse weather.</t>
  </si>
  <si>
    <t>https://www.wbdg.org/FFC/AF/AFMAN/690792_Covered_Review_Stand.pdf</t>
  </si>
  <si>
    <t>https://www.wbdg.org/FFC/AF/AFMAN/690795_Open_Review_Stand.pdf</t>
  </si>
  <si>
    <t>Facility designed for retention and care of stray animals found on base until they can be returned to their owner.</t>
  </si>
  <si>
    <t>https://www.wbdg.org/FFC/AF/AFMAN/690798_Kennel_Stray_Animal.pdf</t>
  </si>
  <si>
    <t>Military Family Housing units acquired under the terms of the Capehart Housing Act of 1955.</t>
  </si>
  <si>
    <t>https://www.wbdg.org/FFC/AF/AFMAN/711111_Family_Housing_Capehart.pdf</t>
  </si>
  <si>
    <t>Military Family Housing units acquired under the terms of the Wherry Housing Act of 1956.</t>
  </si>
  <si>
    <t>https://www.wbdg.org/FFC/AF/AFMAN/711121_Family_Housing_Wherry.pdf</t>
  </si>
  <si>
    <t>Military Family Housing units acquired under the terms of the Lanham Act Legislation.</t>
  </si>
  <si>
    <t>https://www.wbdg.org/FFC/AF/AFMAN/711131_Family_Housing_Lanham.pdf</t>
  </si>
  <si>
    <t>Military Family Housing units acquired incidental to land purchases or acquired under direct funding in FY 1970 or after.</t>
  </si>
  <si>
    <t>https://www.wbdg.org/FFC/AF/AFMAN/711142_Family_Housing_Appropriated_FY_70_&amp;_After.pdf</t>
  </si>
  <si>
    <t>Military Family Housing units acquired incidental to land purchases or acquired under direct funding in FY 1950 through FY 1969.</t>
  </si>
  <si>
    <t>https://www.wbdg.org/FFC/AF/AFMAN/711143_Family_Housing_Appropriated_FY_50-69.pdf</t>
  </si>
  <si>
    <t>Military Family Housing units acquired incidental to land purchases or acquired under direct funding appropriated prior to FY 1950.</t>
  </si>
  <si>
    <t>https://www.wbdg.org/FFC/AF/AFMAN/711144_Family_Housing_Appropriated_Pre_FY_1950.pdf</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</si>
  <si>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</si>
  <si>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</si>
  <si>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Military Family Housing units owned by the Government of the Federal Republic of Germany and used by the USAF under International Agreement.</t>
  </si>
  <si>
    <t>https://www.wbdg.org/FFC/AF/AFMAN/711161_Family_Housing_Deutchmark.pdf</t>
  </si>
  <si>
    <t>Military Family Housing units owned by the Government of Japan and used by the USAF under International Agreement.</t>
  </si>
  <si>
    <t>https://www.wbdg.org/FFC/AF/AFMAN/711171_Family_Housing_Yen.pdf</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</si>
  <si>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</si>
  <si>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</si>
  <si>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Military Family Housing units specifically designed for relocation to a different site. Manufactured housing is defined in 24 CFR 3230 as a transportable dwelling of fixed dimensions.</t>
  </si>
  <si>
    <t>https://www.wbdg.org/FFC/AF/AFMAN/711191_Family_Housing_Relocatable.pdf</t>
  </si>
  <si>
    <t>This category code identifies those family housing units which guarantee a percentage of full occupancy by military families to the builder or owner.</t>
  </si>
  <si>
    <t>https://www.wbdg.org/FFC/AF/AFMAN/711211_Family_Housing_Rental_Guarantee.pdf</t>
  </si>
  <si>
    <t>Military Family Housing units leased by the Air Force from private owners.</t>
  </si>
  <si>
    <t>https://www.wbdg.org/FFC/AF/AFMAN/711221_Family_Housing_Leased.pdf</t>
  </si>
  <si>
    <t>Prefabricated Military Family Housing units that are re-locatable.</t>
  </si>
  <si>
    <t>https://www.wbdg.org/FFC/AF/AFMAN/711231_Family_Housing_USA.pdf</t>
  </si>
  <si>
    <t>This category code identifies those garages attached to military family housing units.</t>
  </si>
  <si>
    <t>https://www.wbdg.org/FFC/AF/AFMAN/711311_Family_Housing_Attached_Garage.pdf</t>
  </si>
  <si>
    <t>https://www.wbdg.org/FFC/AF/AFMAN/711312_Family_Housing_Attached_Carport.pdf</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</si>
  <si>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</si>
  <si>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</si>
  <si>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areas constructed with appropriated funds.</t>
  </si>
  <si>
    <t>https://www.wbdg.org/FFC/AF/AFMAN/713366_Mobile_Home_Court_Parking_Area.pdf</t>
  </si>
  <si>
    <t>Free standing garage adjacent to family housing unit.</t>
  </si>
  <si>
    <t>https://www.wbdg.org/FFC/AF/AFMAN/714431_Garage_Family_Housing_Detatched.pdf</t>
  </si>
  <si>
    <t>Free standing carports adjacent to family housing units.</t>
  </si>
  <si>
    <t>https://www.wbdg.org/FFC/AF/AFMAN/714432_Family_Housing_Detatched_Carport.pdf</t>
  </si>
  <si>
    <t>Free standing support utility structures for storage of lawn maintenance equipment and personal property.</t>
  </si>
  <si>
    <t>https://www.wbdg.org/FFC/AF/AFMAN/714433_Family_Housing_Detatched_Storage.pdf</t>
  </si>
  <si>
    <t>Facility designed to house minimum security inmates. Functional space area includes sleeping quarters, administrative area, visiting area, library, and mail room.</t>
  </si>
  <si>
    <t>https://www.wbdg.org/FFC/AF/AFMAN/721123_Federal_Prison.pdf</t>
  </si>
  <si>
    <t>https://www.wbdg.org/FFC/AF/AFMAN/721201_Transient_UPH,_Advan_Individual_Trainees.pdf</t>
  </si>
  <si>
    <t>Facility designed for inclusion within a dormitory.  This type facility must be justified by operational needs.</t>
  </si>
  <si>
    <t>https://www.wbdg.org/FFC/AF/AFMAN/721215_Dining_Hall-in_Airmen_Dorm.pdf</t>
  </si>
  <si>
    <t>This facility is required to house unaccompanied personnel in the enlisted ranks and comparable-grade unaccompanied civilian employees. See AFH 32-1084 for criteria.</t>
  </si>
  <si>
    <t>https://www.wbdg.org/FFC/AF/AFMAN/721311_Dormitory_Recruits.pdf</t>
  </si>
  <si>
    <t>Dormitory Airman Permanent Party/PCS-STUDENT – This facility is required to house unaccompanied personnel in the enlisted ranks and comparable- grade unaccompanied civilian employees.</t>
  </si>
  <si>
    <t>https://www.wbdg.org/FFC/AF/AFMAN/721312_Dorm_Airman_Perm_Party_PCS_Student.pdf</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</si>
  <si>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</si>
  <si>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</si>
  <si>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This facility houses unaccompanied noncommissioned officers (NCO) and comparable- grade civilian employees ineligible for assignment to family housing. See AFH 32-1084 for criteria.</t>
  </si>
  <si>
    <t>https://www.wbdg.org/FFC/AF/AFMAN/721314_Dorm_Unaccompanied_NonCom.pdf</t>
  </si>
  <si>
    <t>https://www.wbdg.org/FFC/AF/AFMAN/721315_Dormitory_Visiting_Airman_Quarters.pdf</t>
  </si>
  <si>
    <t>This facility is required to house unaccompanied personnel who have been wounded or injured during combat operations.</t>
  </si>
  <si>
    <t>https://www.wbdg.org/FFC/AF/AFMAN/721316_Dorm_Unaccompanied_Wounded_Warrio.pdf</t>
  </si>
  <si>
    <t>https://www.wbdg.org/FFC/AF/AFMAN/721321_Transient_UPH_Advance_Indiv_Trainees.pdf</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</si>
  <si>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</si>
  <si>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</si>
  <si>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</si>
  <si>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Facility designed for fast food service and run by private contractors. Functional space area includes customer service area, food preparation and support, refrigerated storage, and dry storage.</t>
  </si>
  <si>
    <t>https://www.wbdg.org/FFC/AF/AFMAN/722345_Fast_Food_Service_Fac.pdf</t>
  </si>
  <si>
    <t>This facility includes:  refrigerated and dry storage space, food preparation and support space, dining room space, washing room, protected, washing-way, and patron toilets.</t>
  </si>
  <si>
    <t>https://www.wbdg.org/FFC/AF/AFMAN/722351_Airmen_Dining_Fac.pdf</t>
  </si>
  <si>
    <t>https://www.wbdg.org/FFC/AF/AFMAN/722356_Officers_Dining_Fac.pdf</t>
  </si>
  <si>
    <t>Production operation kitchen where food is prepared either partially or completely for use in nearby appropriated fund dining halls or where foil pack meals are prepared for missile site feeding.</t>
  </si>
  <si>
    <t>https://www.wbdg.org/FFC/AF/AFMAN/723385_Kitchen_Central_Prep.pdf</t>
  </si>
  <si>
    <t>Facility designed to provide meal preparation for in-flight meals. Functional space area includes storage area, food preparation area, assembly and issue area and building support area.</t>
  </si>
  <si>
    <t>https://www.wbdg.org/FFC/AF/AFMAN/723388_Flight_Kitchen.pdf</t>
  </si>
  <si>
    <t>Facility which in and of itself, functions as a latrine.</t>
  </si>
  <si>
    <t>https://www.wbdg.org/FFC/AF/AFMAN/723392_Sanitary_Latrine.pdf</t>
  </si>
  <si>
    <t>CARPORT, UPH</t>
  </si>
  <si>
    <t>This facility houses unaccompanied officer personnel, comparable-grade civilian employees ineligible for assignment to family housing. Room configuration consists of a combination living room/bedroom, private bath and kitchen.</t>
  </si>
  <si>
    <t>https://www.wbdg.org/FFC/AF/AFMAN/723415_Officers_Quarters.pdf</t>
  </si>
  <si>
    <t>Facility designed to house unaccompanied visiting officer personnel or civilian equivalents. Room configuration consists of a combination living room/bedroom, private bath and kitchen.</t>
  </si>
  <si>
    <t>https://www.wbdg.org/FFC/AF/AFMAN/724417_Visiting_Officers_Quarters.pdf</t>
  </si>
  <si>
    <t>Facility designed to house cadets who attend either the U.S. Air Force Academy, Officer Training School or Reserve Officer Training School.</t>
  </si>
  <si>
    <t>https://www.wbdg.org/FFC/AF/AFMAN/724433_Cadet_Quarters.pdf</t>
  </si>
  <si>
    <t>TENT PAD</t>
  </si>
  <si>
    <t>A pad structure that serves as a base for a tent that provides temporary housing, showers, dining facilities, and company/battalion administration in emergency or training situations.</t>
  </si>
  <si>
    <t>https://www.wbdg.org/FFC/AF/AFMAN/725121_Tent_Pad.pdf</t>
  </si>
  <si>
    <t>Those facilities used as dormitories by non-U.S. civilian employees organized in para-military organizations providing labor services, guard duty, transportation and other support.</t>
  </si>
  <si>
    <t>https://www.wbdg.org/FFC/AF/AFMAN/725513_Civilian_Camp.pdf</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</si>
  <si>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</si>
  <si>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</si>
  <si>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https://www.wbdg.org/FFC/AF/AFMAN/730142_Fire_Station.pdf</t>
  </si>
  <si>
    <t>Facility designed to provide weather protection for the storage of hoses, nozzles, and associated equipment.</t>
  </si>
  <si>
    <t>https://www.wbdg.org/FFC/AF/AFMAN/730147_Fire_Hose_House.pdf</t>
  </si>
  <si>
    <t>Surveillance station designed to provide protection against forest fires. Each station consists of an observation tower and housing for the assigned forester and family.</t>
  </si>
  <si>
    <t>https://www.wbdg.org/FFC/AF/AFMAN/730151_Forestry_Guard_Station.pdf</t>
  </si>
  <si>
    <t>Facility designed for support of base dining facilities by performing supplemental baking needs. Functional space area includes food preparation area, latrines, and building support area.</t>
  </si>
  <si>
    <t>https://www.wbdg.org/FFC/AF/AFMAN/730182_Bakery.pdf</t>
  </si>
  <si>
    <t>This facility will comply with AFM 38-209. See AFH 32-1084 for criteria.</t>
  </si>
  <si>
    <t>https://www.wbdg.org//FFC/AF/AFMAN/730186</t>
  </si>
  <si>
    <t>Facility that provides protection from the elements for those waiting for transportation.</t>
  </si>
  <si>
    <t>https://www.wbdg.org/FFC/AF/AFMAN/730275_Bus_Shelter.pdf</t>
  </si>
  <si>
    <t>Stopping place for bus transportation and transfer of freight or passengers. Functional space area includes ticket counter, waiting area, and freight depot.</t>
  </si>
  <si>
    <t>https://www.wbdg.org/FFC/AF/AFMAN/730277_Bus_Station.pdf</t>
  </si>
  <si>
    <t>This facility provides for the advancement of the academic, technical, and occupational education of military personnel of all grades and ranks in order to enhance their potential to the service.</t>
  </si>
  <si>
    <t>https://www.wbdg.org/FFC/AF/AFMAN/730441_Education_Center.pdf</t>
  </si>
  <si>
    <t>This facility is necessary for the efficient and normal conduct of business and the welfare of assigned personnel.</t>
  </si>
  <si>
    <t>https://www.wbdg.org/FFC/AF/AFMAN/730443_Central_Post_Office.pdf</t>
  </si>
  <si>
    <t>Facility designed to provide both laundry and dry cleaning service to Government organizations and individuals.</t>
  </si>
  <si>
    <t>https://www.wbdg.org/FFC/AF/AFMAN/730551_Laundry_Dry_Cleaning_Base.pdf</t>
  </si>
  <si>
    <t>https://www.wbdg.org/FFC/AF/AFMAN/730652_Base_Dry_Cleaning.pdf</t>
  </si>
  <si>
    <t>ABOVE GROUND TORNADO SHELTER</t>
  </si>
  <si>
    <t>https://www.wbdg.org/FFC/AF/AFMAN/730660_Above_Ground_Tornado_Shelter.pdf</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</si>
  <si>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</si>
  <si>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https://www.wbdg.org/FFC/AF/AFMAN/730711_Base_Laundry.pdf</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</si>
  <si>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</si>
  <si>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</si>
  <si>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CLOTHING STORE</t>
  </si>
  <si>
    <t>This facility provides space for customers to select clothing and try it on to insure proper fit and appearance. Space requirements and storage space are given in AFH 32-1084.</t>
  </si>
  <si>
    <t>https://www.wbdg.org/FFC/AF/AFMAN/730717_Clothing_Store.pdf</t>
  </si>
  <si>
    <t>https://www.wbdg.org/FFC/AF/AFMAN/730771_Base_Chapel.pdf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</si>
  <si>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</si>
  <si>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</si>
  <si>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facility with both chapel and religious education facility attached in order to form a single complex.</t>
  </si>
  <si>
    <t>https://www.wbdg.org/FFC/AF/AFMAN/730773_Chapel_Center.pdf</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</si>
  <si>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</si>
  <si>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</si>
  <si>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Student dining halls are required to support authorized overseas dependent boarding schools.</t>
  </si>
  <si>
    <t>https://www.wbdg.org/FFC/AF/AFMAN/730781_Dependent_Boarding_School_Dining_Hal.pdf</t>
  </si>
  <si>
    <t>Student dormitories are required to support authorized overseas dependent boarding schools.</t>
  </si>
  <si>
    <t>https://www.wbdg.org/FFC/AF/AFMAN/730782_Dependent_Boarding_School_Dorm.pdf</t>
  </si>
  <si>
    <t>This code applies to three types of school facilities (direct classrooms, dining hall and dormitory, and central school operation).</t>
  </si>
  <si>
    <t>https://www.wbdg.org/FFC/AF/AFMAN/730783_Dependent_School_Detached_Support.pdf</t>
  </si>
  <si>
    <t>Educational facility designed to accommodate children in K through grade 12.</t>
  </si>
  <si>
    <t>https://www.wbdg.org/FFC/AF/AFMAN/730787_Dependent_Schools_K_12.pdf</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</si>
  <si>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</si>
  <si>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</si>
  <si>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</si>
  <si>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</si>
  <si>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</si>
  <si>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</si>
  <si>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‌https://www.wbdg.org/FFC/AF/AFMAN/730834_Sec_Forces_Defensive_Fighting_Position.pdf</t>
  </si>
  <si>
    <t>Facility designed for use as the law enforcement center at the installation level. Functional space areas include space for control elements, law enforcement, resource protection functions, base information security.</t>
  </si>
  <si>
    <t>https://www.wbdg.org/FFC/AF/AFMAN/730835_Security_Forces_Operations.pdf</t>
  </si>
  <si>
    <t>This facility is required at each site supporting surety weapons. It houses sensor annunciation systems, imaging consoles, and security communication gear.</t>
  </si>
  <si>
    <t>‌https://www.wbdg.org/FFC/AF/AFMAN/730836_Reserve_Fire_Team_Facility.pdf</t>
  </si>
  <si>
    <t>‌https://www.wbdg.org/FFC/AF/AFMAN/730837_Security_Entry_Control_Building.pdf</t>
  </si>
  <si>
    <t>‌https://www.wbdg.org/FFC/AF/AFMAN/730838_Master_Surveillance_Control_Facility.pdf</t>
  </si>
  <si>
    <t>ACCESS CONTROL FACILITY</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</si>
  <si>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</si>
  <si>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</si>
  <si>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</si>
  <si>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</si>
  <si>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</si>
  <si>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</si>
  <si>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</si>
  <si>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</si>
  <si>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</si>
  <si>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</si>
  <si>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</si>
  <si>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</si>
  <si>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A facility to protect personnel or equipment from the elements, such as bus stops, smoking shelters, bicycle shelters, rain shelters, and mailbox enclosures.</t>
  </si>
  <si>
    <t>https://www.wbdg.org/FFC/AF/AFMAN/738499_Misc_Personnel_Shelter.pdf</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</si>
  <si>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</si>
  <si>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</si>
  <si>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</si>
  <si>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</si>
  <si>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</si>
  <si>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</si>
  <si>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</si>
  <si>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</si>
  <si>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</si>
  <si>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</si>
  <si>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</si>
  <si>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</si>
  <si>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</si>
  <si>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</si>
  <si>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</si>
  <si>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</si>
  <si>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</si>
  <si>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</si>
  <si>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</si>
  <si>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</si>
  <si>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This category code identifies the cadet clothing issue, barber/beauty shops and any concession type stores operated by cadet MWR.</t>
  </si>
  <si>
    <t>https://www.wbdg.org/FFC/AF/AFMAN/740267_Cadet_Store.pdf</t>
  </si>
  <si>
    <t>Facility designed to provide Air Force installation patrons with package store service. Functional space areas include a stockroom, a sales area, small office, latrines,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</si>
  <si>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</si>
  <si>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</si>
  <si>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</si>
  <si>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</si>
  <si>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</si>
  <si>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</si>
  <si>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https://www.wbdg.org/FFC/AF/AFMAN/740316_Recreation_Center.pdf</t>
  </si>
  <si>
    <t>Facility designed to provide aircraft storage space for Air Force installation personnel who fly as a hobby.</t>
  </si>
  <si>
    <t>https://www.wbdg.org/FFC/AF/AFMAN/740317_Aero_Club.pdf</t>
  </si>
  <si>
    <t>Facility which combines coin operated games with refreshments and snacks. Functional spaces include game area, food and drink vending machines, a small snack counter, and latrines.</t>
  </si>
  <si>
    <t>https://www.wbdg.org/FFC/AF/AFMAN/740379_Exchange_Amusement_Center.pdf</t>
  </si>
  <si>
    <t>https://www.wbdg.org/FFC/AF/AFMAN/740381_Exchange_Food_Court_Snack_Bar.pdf</t>
  </si>
  <si>
    <t>https://www.wbdg.org/FFC/AF/AFMAN/740382_Branch_Exchange.pdf</t>
  </si>
  <si>
    <t>Facility designed for the sale of oil, gasoline, automotive accessories, minor automotive repairs, lubrication service, tire and battery service, and vehicle safety inspections.</t>
  </si>
  <si>
    <t>https://www.wbdg.org/FFC/AF/AFMAN/740383_Exchange_Service_Station.pdf</t>
  </si>
  <si>
    <t>AAFES operated laundry and dry-cleaning service facility.</t>
  </si>
  <si>
    <t>https://www.wbdg.org/FFC/AF/AFMAN/740384_Exchange_Laundry_and_Dry_Cleaning_Plants.pdf</t>
  </si>
  <si>
    <t>Facility designed as a repair shop for damaged exchange equipment and fixtures.</t>
  </si>
  <si>
    <t>https://www.wbdg.org/FFC/AF/AFMAN/740385_Exchange_Maintenance_Shop.pdf</t>
  </si>
  <si>
    <t>The main administrative offices of the local base exchange operations.</t>
  </si>
  <si>
    <t>https://www.wbdg.org/FFC/AF/AFMAN/740386_Exchange_Administration.pdf</t>
  </si>
  <si>
    <t>Facility designed for holding and storage of exchange merchandise required in addition to the main exchange store storage capabilities.</t>
  </si>
  <si>
    <t>https://www.wbdg.org/FFC/AF/AFMAN/740397_Central_Exchange_Warehouse.pdf</t>
  </si>
  <si>
    <t>Facility designed as the main exchange retail store on the Air Force installation. Functional space areas include sales area, administrative offices, stock room, and building support area.</t>
  </si>
  <si>
    <t>https://www.wbdg.org/FFC/AF/AFMAN/740388_Exchange_Sales_Store_Main_Exchange.pdf</t>
  </si>
  <si>
    <t>Special sales and service outlets considered branches of the main base exchange.</t>
  </si>
  <si>
    <t>https://www.wbdg.org/FFC/AF/AFMAN/740389_Exchange_Service_Outlet.pdf</t>
  </si>
  <si>
    <t>Facility designed to provide administrative services for a number of installations within a specified geographical area.</t>
  </si>
  <si>
    <t>https://www.wbdg.org/FFC/AF/AFMAN/740396_Central_Exchange_Administration.pdf</t>
  </si>
  <si>
    <t>Regional warehouse that supports a number of installations within a specified geographical area.</t>
  </si>
  <si>
    <t>https://www.wbdg.org/FFC/AF/AFMAN/740398_Central_Exchange_Support_Facility.pdf</t>
  </si>
  <si>
    <t>Facility designed to provide short term temporary housing accommodation for military members, their dependents, relatives, and guests including hospital visitors.</t>
  </si>
  <si>
    <t>https://www.wbdg.org/FFC/AF/AFMAN/740443_Transient_Lodging_Facility.pdf</t>
  </si>
  <si>
    <t>TLF’s are required to provide short term temporary housing accommodation for military members, their dependents, relatives, and guest including hospital visitors.</t>
  </si>
  <si>
    <t>https://www.wbdg.org/FFC/AF/AFMAN/740457_Transient_Lodging_Facility_NA.pdf</t>
  </si>
  <si>
    <t>https://www.wbdg.org/FFC/AF/AFMAN/740459_Transient_Lodging_Support_Facility.pdf</t>
  </si>
  <si>
    <t>Open mess facility for lower grade enlisted personnel.</t>
  </si>
  <si>
    <t>https://www.wbdg.org/FFC/AF/AFMAN/740612_Open_Mess_Airmen.pdf</t>
  </si>
  <si>
    <t>https://www.wbdg.org/FFC/AF/AFMAN/740615_Consolidated_Open_Mess.pdf</t>
  </si>
  <si>
    <t>This facility provides an open mess for non-commissioned officers.</t>
  </si>
  <si>
    <t>https://www.wbdg.org/FFC/AF/AFMAN/740617_Enlisted_Open_Mess.pdf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</si>
  <si>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</si>
  <si>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</si>
  <si>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Code antennas used for the reception of television signals. These antennas are normally located in overseas and remote areas where reception is difficult.</t>
  </si>
  <si>
    <t>‌http://www.wbdg.org/FFC/AF/AFMAN/740657_Master_Television_Antenna.pdf</t>
  </si>
  <si>
    <t>Facility designed for arts and crafts activities such as printing, drawing, sculpture, ceramics, photography, woodworking, modeling, electronics and other hand crafts.</t>
  </si>
  <si>
    <t>https://www.wbdg.org/FFC/AF/AFMAN/740664_Arts_and_Crafts_Center.pdf</t>
  </si>
  <si>
    <t>This facility serves to support off-duty activity in the maintenance, repair, modification, and improvement of vehicles on a self –help basis.</t>
  </si>
  <si>
    <t>https://www.wbdg.org/FFC/AF/AFMAN/740665_Hobby_Shop_Automotive.pdf</t>
  </si>
  <si>
    <t>Camping/recreation area which may be located on or off-base.</t>
  </si>
  <si>
    <t>https://www.wbdg.org/FFC/AF/AFMAN/740666_Recreation_Site_Lodging.pdf</t>
  </si>
  <si>
    <t>https://www.wbdg.org/FFC/AF/AFMAN/740668_Indoor_Miscellaneous_Recreation_Building.pdf</t>
  </si>
  <si>
    <t>Facility designed to provide bowling lane activities for installation military personnel.</t>
  </si>
  <si>
    <t>https://www.wbdg.org/FFC/AF/AFMAN/740671_Bowling_Center.pdf</t>
  </si>
  <si>
    <t>Facility designed for storage and issue of MWR equipment, supplies, and merchandise at both on base and off base recreation sites.</t>
  </si>
  <si>
    <t>https://www.wbdg.org/FFC/AF/AFMAN/740672_MWR_Supply_and_NAF_Central_Storage.pdf</t>
  </si>
  <si>
    <t>GYMNASIUM</t>
  </si>
  <si>
    <t>This facility may provide space for latrines, showers, dressing rooms, lockers, squash, racquetball, handball, basketball, badminton courts, weight rooms, laundries, offices, and storage it is used for the daily physical training of military personnel.</t>
  </si>
  <si>
    <t>https://www.wbdg.org/FFC/AF/AFMAN/740674_Gymnasium_Fitness_Center.pdf</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</si>
  <si>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</si>
  <si>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</si>
  <si>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Enclosed swimming pool designed for year round use by military personnel and their dependents.</t>
  </si>
  <si>
    <t>https://www.wbdg.org/FFC/AF/AFMAN/740677_Indoor_Swimming_Pool.pdf</t>
  </si>
  <si>
    <t>Recreational facility designed for roller or ice skating use by military personnel and their dependents.</t>
  </si>
  <si>
    <t>https://www.wbdg.org/FFC/AF/AFMAN/740678_Indoor_Skating_Rink.pdf</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</si>
  <si>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</si>
  <si>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</si>
  <si>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</si>
  <si>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</si>
  <si>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</si>
  <si>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https://www.wbdg.org/FFC/AF/AFMAN/740732_Restaurant_Fund_CWF_Facility.pdf</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</si>
  <si>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</si>
  <si>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</si>
  <si>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</si>
  <si>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</si>
  <si>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</si>
  <si>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https://www.wbdg.org/FFC/AF/AFMAN/740873_Base_Theater.pdf</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</si>
  <si>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</si>
  <si>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</si>
  <si>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</si>
  <si>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</si>
  <si>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</si>
  <si>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</si>
  <si>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</si>
  <si>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</si>
  <si>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</si>
  <si>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Outdoor athletic field designed for junior football and soccer. These areas may be provided for dependents ages 6-19.</t>
  </si>
  <si>
    <t>https://www.wbdg.org/FFC/AF/AFMAN/750175_Athletic_Field_Football_Soccer.pdf</t>
  </si>
  <si>
    <t>Outdoor running track usually sited around a football field. A 400 meter running track is authorized per 1,000 military personnel.</t>
  </si>
  <si>
    <t>https://www.wbdg.org/FFC/AF/AFMAN/750177_Athletic_Field_Track.pdf</t>
  </si>
  <si>
    <t>https://www.wbdg.org/FFC/AF/AFMAN/750178_Athletic_Field_Softball.pdf</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</si>
  <si>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</si>
  <si>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</si>
  <si>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</si>
  <si>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</si>
  <si>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</si>
  <si>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Outdoor hardtop surfaced court designed for the game of tennis.</t>
  </si>
  <si>
    <t>https://www.wbdg.org/FFC/AF/AFMAN/750347_Tennis_Court.pdf</t>
  </si>
  <si>
    <t>PLATFORM TENNIS</t>
  </si>
  <si>
    <t>Any outdoor recreational courts not identified under specific types of courts or under other category codes.</t>
  </si>
  <si>
    <t>https://www.wbdg.org/FFC/AF/AFMAN/750349_Recreational_Court.pdf</t>
  </si>
  <si>
    <t>https://www.wbdg.org/FFC/AF/AFMAN/750371_Outdoor_Recreation_Pavilion.pdf</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</si>
  <si>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</si>
  <si>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</si>
  <si>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Facility designed for the storage and maintenance of golf carts and other related equipment.</t>
  </si>
  <si>
    <t>https://www.wbdg.org/FFC/AF/AFMAN/750423_Golf_Equipment_Building.pdf</t>
  </si>
  <si>
    <t>Outdoor recreation facility designed for use as a golf course having 9 holes.</t>
  </si>
  <si>
    <t>https://www.wbdg.org/FFC/AF/AFMAN/750426_9_Hole_Golf_Course.pdf</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</si>
  <si>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</si>
  <si>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</si>
  <si>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</si>
  <si>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</si>
  <si>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</si>
  <si>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A smaller version of a regulation golf course, where the distance from tee to hole is normally less than 200 yards.</t>
  </si>
  <si>
    <t>This facility includes parks or picnic areas.</t>
  </si>
  <si>
    <t>https://www.wbdg.org/FFC/AF/AFMAN/750581_Miscellaneous_Outdoor_Recreational_Facility.pdf</t>
  </si>
  <si>
    <t>Those land and site improvements used for outdoor recreation and financed by the Civilian Welfare Fund.</t>
  </si>
  <si>
    <t>https://www.wbdg.org/FFC/AF/AFMAN/750582_Civilian_Welfare_Fund_Outdoor_Facility.pdf</t>
  </si>
  <si>
    <t>RIDING STABLES</t>
  </si>
  <si>
    <t>https://www.wbdg.org/FFC/AF/AFMAN/750583_Riding_Stables.pdf</t>
  </si>
  <si>
    <t>Camping area located on or near Air Force installations which support camping recreational activities for transient as well as local military personnel and their dependents.</t>
  </si>
  <si>
    <t>https://www.wbdg.org/FFC/AF/AFMAN/750611_Family_Camp_Grounds.pdf</t>
  </si>
  <si>
    <t>Support building that includes toilets, lavatories, showers, service sink, and a washing machine. Size is 500 for 24 camping vehicles.</t>
  </si>
  <si>
    <t>https://www.wbdg.org/FFC/AF/AFMAN/750612_Family_Camping_Support_Facility.pdf</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</si>
  <si>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</si>
  <si>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</si>
  <si>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Facility designed for use as a swimmers bath house with necessary showers and lockers for protection of belongings.</t>
  </si>
  <si>
    <t>https://www.wbdg.org/FFC/AF/AFMAN/750811_Swimmers_Bath_House.pdf</t>
  </si>
  <si>
    <t>https://www.wbdg.org/FFC/AF/AFMAN/750812_Consolidated_Swimming_Pool.pdf</t>
  </si>
  <si>
    <t>Separate water treatment facilities that support swimming pools and normally included as part of swimming pools or bath houses.</t>
  </si>
  <si>
    <t>https://www.wbdg.org/FFC/AF/AFMAN/750819_Swimming_Pool_Water_Treatment.pdf</t>
  </si>
  <si>
    <t>Facility designed to provide space as an outdoor theater.</t>
  </si>
  <si>
    <t>https://www.wbdg.org/FFC/AF/AFMAN/750835_Outdoor_Theater.pdf</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</si>
  <si>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</si>
  <si>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</si>
  <si>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This CCN is used for stand-alone recreational pier facilities (e.g. fishing piers) where there is no existing Marina.</t>
  </si>
  <si>
    <t>Facility designed as a special museum and located on an Air Force installation.</t>
  </si>
  <si>
    <t>https://www.wbdg.org/FFC/AF/AFMAN/760111_Museum_Building.pdf</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</si>
  <si>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</si>
  <si>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</si>
  <si>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</si>
  <si>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</si>
  <si>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</si>
  <si>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</si>
  <si>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Those structures designated as monuments or memorials and located on Air Force installations.</t>
  </si>
  <si>
    <t>https://www.wbdg.org/FFC/AF/AFMAN/760512_Monuments_Memorials.pdf</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</si>
  <si>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</si>
  <si>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</si>
  <si>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</si>
  <si>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</si>
  <si>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</si>
  <si>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</si>
  <si>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</si>
  <si>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Facility designed for use as an electric power station.</t>
  </si>
  <si>
    <t>https://www.wbdg.org/FFC/AF/AFMAN/811149_Electric_Power_Station_Building.pdf</t>
  </si>
  <si>
    <t>https://www.wbdg.org/FFC/AF/AFMAN/812223_Primary_Overhead_Distribution_Line.pdf</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</si>
  <si>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</si>
  <si>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</si>
  <si>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https://www.wbdg.org/FFC/AF/AFMAN/812225_Primary_Distribution_Line_Underground.pdf</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</si>
  <si>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</si>
  <si>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</si>
  <si>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</si>
  <si>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</si>
  <si>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</si>
  <si>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</si>
  <si>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</si>
  <si>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</si>
  <si>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https://www.wbdg.org/FFC/AF/AFMAN/813231_Electric_Substation.pdf</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</si>
  <si>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</si>
  <si>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</si>
  <si>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</si>
  <si>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</si>
  <si>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</si>
  <si>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</si>
  <si>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Underground tanks used to store diesel fuel for use in operation of central heating plants.</t>
  </si>
  <si>
    <t>‌http://www.wbdg.org/FFC/AF/AFMAN/821112_Heating_Fuel_Oil_Storage.pdf</t>
  </si>
  <si>
    <t>Facilities that receive heat from a central plant and distribute it to one or more buildings.  Mechanical rooms may be part of the facility or standalone.</t>
  </si>
  <si>
    <t>https://www.wbdg.org/FFC/AF/AFMAN/821113_Heating_Central_Plant.pdf</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</si>
  <si>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</si>
  <si>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</si>
  <si>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</si>
  <si>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</si>
  <si>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Industrial plant that produces steam for other than heating purposes.</t>
  </si>
  <si>
    <t>https://www.wbdg.org/FFC/AF/AFMAN/821155_Steam_Plant_Industrial.pdf</t>
  </si>
  <si>
    <t>‌https://www.wbdg.org/FFC/AF/AFMAN/821156_Steam_Facility_Building.pdf</t>
  </si>
  <si>
    <t>Hot water supply and return lines used in an exterior heat distribution system to heat buildings on a base wide centralized heat system.</t>
  </si>
  <si>
    <t>https://www.wbdg.org/FFC/AF/AFMAN/822245_Hot_Water_Mains.pdf</t>
  </si>
  <si>
    <t>Facility designed to provide support by boosting the output accomplished by the main heat plant pumps.</t>
  </si>
  <si>
    <t>https://www.wbdg.org/FFC/AF/AFMAN/822248_Hot_Water_Pump_Station.pdf</t>
  </si>
  <si>
    <t>Steam supply and condensate return lines used in an exterior heat distribution system used to heat buildings from a central plant.</t>
  </si>
  <si>
    <t>https://www.wbdg.org/FFC/AF/AFMAN/822265_Steam_Heating_Mains.pdf</t>
  </si>
  <si>
    <t>Facility designed for returning condensate caused by steam heat from the building to the central steam heat plants.</t>
  </si>
  <si>
    <t>https://www.wbdg.org/FFC/AF/AFMAN/822268_Condensate_Return_Pump_Station.pdf</t>
  </si>
  <si>
    <t>A plant for the production of gas to be used directly in heat production.</t>
  </si>
  <si>
    <t>https://www.wbdg.org/FFC/AF/AFMAN/823111_Heat_Gas_Source.pdf</t>
  </si>
  <si>
    <t>Facility that contains compressors and associated equipment used to pressurize natural gas for heating.</t>
  </si>
  <si>
    <t>https://www.wbdg.org/FFC/AF/AFMAN/823243_Gas_Compressor.pdf</t>
  </si>
  <si>
    <t>Any tank or other facility used to store gas as a heating fuel.</t>
  </si>
  <si>
    <t>https://www.wbdg.org/FFC/AF/AFMAN/823244_Gas_Storage.pdf</t>
  </si>
  <si>
    <t>Those facilities and equipment used to vaporize any gas used as a facility heating fuel.</t>
  </si>
  <si>
    <t>https://www.wbdg.org/FFC/AF/AFMAN/823248_Gas_Vaporizer.pdf</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</si>
  <si>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</si>
  <si>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</si>
  <si>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</si>
  <si>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</si>
  <si>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</si>
  <si>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Facility that contains the necessary equipment required to odorize gas fuel for leak detection purposes.</t>
  </si>
  <si>
    <t>https://www.wbdg.org/FFC/AF/AFMAN/824466_Gas_Odorizer_Facility.pdf</t>
  </si>
  <si>
    <t>Facility that contains valves and other equipment necessary to regulate heating gas flow and/or pressure.</t>
  </si>
  <si>
    <t>https://www.wbdg.org/FFC/AF/AFMAN/824468_Gas_Valve_Facility.pdf</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</si>
  <si>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</si>
  <si>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Central air conditioning plant that houses refrigeration equipment with capacities the meet or exceed 100 tons.</t>
  </si>
  <si>
    <t>https://www.wbdg.org/FFC/AF/AFMAN/826123_Air_Conditioning_Plant_Over_100_Tons.pdf</t>
  </si>
  <si>
    <t>Exterior chilled water distribution piping that runs from the central air conditioning plant to the facilities requiring air conditioning.</t>
  </si>
  <si>
    <t>https://www.wbdg.org/FFC/AF/AFMAN/827111_Chilled_Water_Exterior_Distribution_Line.pdf</t>
  </si>
  <si>
    <t>Facility designed for treating and disposing of industrial waste generated by corrosion control, plating, maintenance, photo processing, etc.</t>
  </si>
  <si>
    <t>https://www.wbdg.org/FFC/AF/AFMAN/831155_Industrial_Waste_Treatment_and_Disposal_Facility.pdf</t>
  </si>
  <si>
    <t>https://www.wbdg.org/FFC/AF/AFMAN/831157_Industrial_Waste_Fuel_Spill_Collection.pdf</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</si>
  <si>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</si>
  <si>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</si>
  <si>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</si>
  <si>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</si>
  <si>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</si>
  <si>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</si>
  <si>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</si>
  <si>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Locations or sites where radioactive materials or wastes are buried.</t>
  </si>
  <si>
    <t>https://www.wbdg.org/FFC/AF/AFMAN/831171_Radioactive_Waste_Burial_Site.pdf</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</si>
  <si>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</si>
  <si>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</si>
  <si>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An open range used to dispose of unserviceable air munitions, incendiaries, or chemical material by burning or otherwise crushing to reduce volume for disposal.</t>
  </si>
  <si>
    <t>https://www.wbdg.org/FFC/AF/AFMAN/831173_Demolition_and_Burn_Facility.pdf</t>
  </si>
  <si>
    <t>Lagoon septic systems consist of one or more lagoons/ponds designed to receive, hold and treat wastewater.</t>
  </si>
  <si>
    <t>Sewage collection mains serving the industrial waste water treatment and disposal system.</t>
  </si>
  <si>
    <t>https://www.wbdg.org/FFC/AF/AFMAN/832255_Industrial_Waste_Main.pdf</t>
  </si>
  <si>
    <t>Sewage collection mains serving the sanitary (domestic) wastewater treatment and disposal system.</t>
  </si>
  <si>
    <t>https://www.wbdg.org/FFC/AF/AFMAN/832266_Sanitary_Sewage_Mains.pdf</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</si>
  <si>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</si>
  <si>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</si>
  <si>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</si>
  <si>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</si>
  <si>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</si>
  <si>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</si>
  <si>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Facility designed for the disposal of solid waste and does not include hazardous waste.</t>
  </si>
  <si>
    <t>https://www.wbdg.org/FFC/AF/AFMAN/833354_Solid_Waste_Disposal_Facility.pdf</t>
  </si>
  <si>
    <t>Container designed for the storage and eventual transfer of solid waste. Hazardous materials are prohibited from this type disposal.</t>
  </si>
  <si>
    <t>https://www.wbdg.org/FFC/AF/AFMAN/833356_Solid_Waste_Repository.pdf</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</si>
  <si>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</si>
  <si>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</si>
  <si>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Sanitary landfill for the disposal of non-hazardous solid waste.</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</si>
  <si>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</si>
  <si>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</si>
  <si>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https://www.wbdg.org/FFC/AF/AFMAN/841161_Water_Supply_Mains.pdf</t>
  </si>
  <si>
    <t>Facility owned and operated by entities other than the Federal Government. The water is supplied for use by the Air Force.</t>
  </si>
  <si>
    <t>https://www.wbdg.org/FFC/AF/AFMAN/841162_Commercial_Water_Supply.pdf</t>
  </si>
  <si>
    <t>DELETION PROPOSED IN FY 11 RPCS ***USE CODE 841425***</t>
  </si>
  <si>
    <t>https://www.wbdg.org/FFC/AF/AFMAN/841163_Surface_Water_Supply.pdf</t>
  </si>
  <si>
    <t>Domestic water treatment components other than buildings and mains. Equipment includes settling basins, filters, chemical feeders, etc.</t>
  </si>
  <si>
    <t>https://www.wbdg.org/FFC/AF/AFMAN/841165_Water_Supply_Treatment_Facility.pdf</t>
  </si>
  <si>
    <t>https://www.wbdg.org/FFC/AF/AFMAN/841166_Water_Well.pdf</t>
  </si>
  <si>
    <t>Facility designed to house water supply treatment, storage, and distribution components within the water supply system</t>
  </si>
  <si>
    <t>https://www.wbdg.org/FFC/AF/AFMAN/841169_Water_Supply_Building.pdf</t>
  </si>
  <si>
    <t>Facility designed to impound surface water for domestic, industrial, or recreational purposes. The dam is usually used in conjunction with a water storage reservoir.</t>
  </si>
  <si>
    <t>https://www.wbdg.org/FFC/AF/AFMAN/841423_Water_Storage_Dam.pdf</t>
  </si>
  <si>
    <t>Surface water impoundment area or basin constructed for this purpose. The facility is used to store water for domestic, industrial, or recreational purposes.</t>
  </si>
  <si>
    <t>https://www.wbdg.org/FFC/AF/AFMAN/841425_Water_Storage_Reservoir.pdf</t>
  </si>
  <si>
    <t>Water storage tanks, either elevated or ground level, used to store water for either domestic or industrial requirements.</t>
  </si>
  <si>
    <t>https://www.wbdg.org/FFC/AF/AFMAN/841427_Water_Tank_Storage.pdf</t>
  </si>
  <si>
    <t>Station with a water pump that transfers either domestic or industrial water.</t>
  </si>
  <si>
    <t>https://www.wbdg.org/FFC/AF/AFMAN/842249_Water_Pump_Station_Potable.pdf</t>
  </si>
  <si>
    <t>Water mains used exclusively to provide water from fire protection water storage and or pump stations to fire protection systems and/or fire hydrants.</t>
  </si>
  <si>
    <t>https://www.wbdg.org/FFC/AF/AFMAN/843314_Fire_Protection_Water_Mains.pdf</t>
  </si>
  <si>
    <t>Pumping stations that provide large volumes of water for fire protection. These systems are normally used in deluge systems which automatically call for large amounts of water when a fire occurs.</t>
  </si>
  <si>
    <t>Water storage tanks used exclusively for supplying potable or non-potable water to fire protection systems.</t>
  </si>
  <si>
    <t>https://www.wbdg.org/FFC/AF/AFMAN/843319_Fire_Protection_Water_Storage.pdf</t>
  </si>
  <si>
    <t>Facility designed for storing non potable water.</t>
  </si>
  <si>
    <t>https://www.wbdg.org/FFC/AF/AFMAN/844367_Water_Supply_Storage_Non_Potable.pdf</t>
  </si>
  <si>
    <t>Water supply system which does not meet potable water standards. Some examples of this type system are irrigation systems or fire protection systems.</t>
  </si>
  <si>
    <t>https://www.wbdg.org/FFC/AF/AFMAN/844368_Water_Supply_Non_Potable.pdf</t>
  </si>
  <si>
    <t>Facilities used to house non-potable water systems, components, or equipment.</t>
  </si>
  <si>
    <t>Water supply mains used in a non-potable water system.</t>
  </si>
  <si>
    <t>ROAD BRIDGE</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</si>
  <si>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</si>
  <si>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</si>
  <si>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</si>
  <si>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</si>
  <si>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</si>
  <si>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</si>
  <si>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</si>
  <si>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</si>
  <si>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https://www.wbdg.org/FFC/AF/AFMAN/851147_Road_Street.pdf</t>
  </si>
  <si>
    <t>https://www.wbdg.org/FFC/AF/AFMAN/851201_Road_Unsurfaced.pdf</t>
  </si>
  <si>
    <t>VEHICULAR TUNNEL</t>
  </si>
  <si>
    <t>https://www.wbdg.org/FFC/AF/AFMAN/852201_Vehicle_Parking_Surfaced.pdf</t>
  </si>
  <si>
    <t>https://www.wbdg.org/FFC/AF/AFMAN/852261_Vehicle_Parking_Operations.pdf</t>
  </si>
  <si>
    <t>https://www.wbdg.org/FFC/AF/AFMAN/852262_Non_Organizational_Vehicle_Parking.pdf</t>
  </si>
  <si>
    <t>Parking areas used for miscellaneous research and development vehicles and support equipment.</t>
  </si>
  <si>
    <t>https://www.wbdg.org/FFC/AF/AFMAN/852267_Vehicle_Equipment_Parking_Research_Development.pdf</t>
  </si>
  <si>
    <t>‌http://www.wbdg.org/FFC/AF/AFMAN/852269_Refueler_Vehicle_Parking.pdf</t>
  </si>
  <si>
    <t>https://www.wbdg.org/FFC/AF/AFMAN/852271_Private_Vehicle_Parking_Compound.pdf</t>
  </si>
  <si>
    <t>Facility designed for the storage of powered and non-powered support equipment that service various repaired aircraft.</t>
  </si>
  <si>
    <t>‌http://www.wbdg.org/FFC/AF/AFMAN/852273_Aircraft_Support_Equipment_AGE_Storage_Yard.pdf</t>
  </si>
  <si>
    <t>Spanning structure that permits pedestrian traffic over river, chasm, road, etc.</t>
  </si>
  <si>
    <t>https://www.wbdg.org/FFC/AF/AFMAN/852282_Walkway_Bridge.pdf</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</si>
  <si>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</si>
  <si>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</si>
  <si>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</si>
  <si>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</si>
  <si>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</si>
  <si>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</si>
  <si>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</si>
  <si>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https://www.wbdg.org/FFC/AF/AFMAN/853101_Vehicle_Parking_Garage.pdf</t>
  </si>
  <si>
    <t>Spanning structure that permits the passage of locomotives over rivers, chasms, road, etc.</t>
  </si>
  <si>
    <t>https://www.wbdg.org/FFC/AF/AFMAN/860612_Railroad_Bridge.pdf</t>
  </si>
  <si>
    <t>Facility designed to provide shelter from the elements while waiting for a train.</t>
  </si>
  <si>
    <t>https://www.wbdg.org/FFC/AF/AFMAN/860616_Railroad_Shelter_Personnel.pdf</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</si>
  <si>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</si>
  <si>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</si>
  <si>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</si>
  <si>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</si>
  <si>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Components of the storm drainage system to include piping, channels, catch basins, culverts, manholes, etc.</t>
  </si>
  <si>
    <t>https://www.wbdg.org/FFC/AF/AFMAN/871183_Storm_Drainage_Disposal.pdf</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</si>
  <si>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</si>
  <si>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</si>
  <si>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</si>
  <si>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</si>
  <si>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</si>
  <si>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DYKE / 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</si>
  <si>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</si>
  <si>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</si>
  <si>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The legal and physical demarcation of an installation's boundary, usually defined by a fence.</t>
  </si>
  <si>
    <t>https://www.wbdg.org/FFC/AF/AFMAN/872245_Boundary_Fence.pdf</t>
  </si>
  <si>
    <t>Structure designed for protection of restricted or controlled areas or any area where threat of terrorism is imminent or likely.</t>
  </si>
  <si>
    <t>https://www.wbdg.org/FFC/AF/AFMAN/872247_Security_Fence_Vehicle_Security_Barriers.pdf</t>
  </si>
  <si>
    <t>Fences that promote personnel or traffic safety, operating efficiency, or environmental protection. This structure is not for security or boundary demarcation.</t>
  </si>
  <si>
    <t>https://www.wbdg.org/FFC/AF/AFMAN/872248_Interior_Fence.pdf</t>
  </si>
  <si>
    <t>GATE</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</si>
  <si>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</si>
  <si>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‌https://www.wbdg.org/FFC/AF/AFMAN/872845_Security_Guard_Tower.pdf</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</si>
  <si>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</si>
  <si>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</si>
  <si>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Separate facility that contains refrigeration equipment required to cool two or more different facilities.</t>
  </si>
  <si>
    <t>https://www.wbdg.org/FFC/AF/AFMAN/890123_Air_Conditioning_Central_Plant.pdf</t>
  </si>
  <si>
    <t>Bank of solar collectors that supply energy to power heating and cooling systems and to supplement hot water systems. Components include the collectors, piping, valves, controls, and gauges.</t>
  </si>
  <si>
    <t>https://www.wbdg.org/FFC/AF/AFMAN/890127_Solar_Collection_System.pdf</t>
  </si>
  <si>
    <t>Plant designed for the purpose of providing compressed air to various users. The plant includes a compressor, tanks, and associated equipment.</t>
  </si>
  <si>
    <t>https://www.wbdg.org/FFC/AF/AFMAN/890134_Compressed_Air_Plant.pdf</t>
  </si>
  <si>
    <t>Compressed air facility that provides service to two or more buildings by way of a compressed air distribution system.</t>
  </si>
  <si>
    <t>https://www.wbdg.org/FFC/AF/AFMAN/890136_Compressed_Air_Plant_Building.pdf</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</si>
  <si>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</si>
  <si>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</si>
  <si>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</si>
  <si>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</si>
  <si>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</si>
  <si>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Those areas normally at ground level where miscellaneous materials may be loaded or unloaded as the requirement may be.</t>
  </si>
  <si>
    <t>https://www.wbdg.org/FFC/AF/AFMAN/890152_Loading_Unloading_Area.pdf</t>
  </si>
  <si>
    <t>Those framework structures and cranes used to hoist, lower, or move heavy equipment, missiles, munitions, cargo, coal, gravel, etc. to and from vehicles or from area to area.</t>
  </si>
  <si>
    <t>‌https://www.wbdg.org/FFC/AF/AFMAN/890154_Gantry_Bridge_Crane.pdf</t>
  </si>
  <si>
    <t>Those areas used to load or unload materials such as gravel or coal into or from vehicles. The pit is usually below grade.</t>
  </si>
  <si>
    <t>https://www.wbdg.org/FFC/AF/AFMAN/890156_Load_Unloading_Pit.pdf</t>
  </si>
  <si>
    <t>Those areas, typically a raised floor or dock, used to upload or download equipment, cargo, crates, coal, gravel, etc.</t>
  </si>
  <si>
    <t>https://www.wbdg.org/FFC/AF/AFMAN/890158_Load_Unloading_Platform.pdf</t>
  </si>
  <si>
    <t>https://www.wbdg.org/FFC/AF/AFMAN/890171_Misc_Storage_Tank.pdf</t>
  </si>
  <si>
    <t>Underground concrete encased ducts used for installation of electrical, telephone cable, optical communication lines, steam or hot water lines, etc.</t>
  </si>
  <si>
    <t>https://www.wbdg.org/FFC/AF/AFMAN/890181_Utility_Line_Ducts.pdf</t>
  </si>
  <si>
    <t>A walk-through tunnel where maintenance can be performed on various utility lines that run underground.</t>
  </si>
  <si>
    <t>https://www.wbdg.org/FFC/AF/AFMAN/890185_Utilidor.pdf</t>
  </si>
  <si>
    <t>An enclosed structure, generally made of concrete that contains utility equipment, connections, or lines.</t>
  </si>
  <si>
    <t>https://www.wbdg.org/FFC/AF/AFMAN/890187_Utility_Vault.pdf</t>
  </si>
  <si>
    <t>Ground level installed scales used to weigh Government or commercial vehicles to determine the weight of the vehicle or its contents.</t>
  </si>
  <si>
    <t>https://www.wbdg.org/FFC/AF/AFMAN/890197_Weight_Scale.pdf</t>
  </si>
  <si>
    <t>A building that houses the equipment and support functions associated with the shredding of material prior to its final disposition.</t>
  </si>
  <si>
    <t>A structure to monitor and test environmental conditions.</t>
  </si>
  <si>
    <t>A tower that provides air-conditioning/cooling through circulation of atmospheric air that cools warm water, generally by direct contact (evaporation). Associated equipment normally includes pumps, valves, spray nozzles, and controls.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</si>
  <si>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</si>
  <si>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</si>
  <si>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A structure to monitor and test environmental conditions. Report each test facility as 1 EA, regardless of the number of sensors.</t>
  </si>
  <si>
    <t>COOLING TOWER</t>
  </si>
  <si>
    <t>This category code identifies those lands in the continental U.S., its territories and possessions where fee title has transferred from the private sector and put under the custody and accountability of the Air Force without any consideration to the previous owner.</t>
  </si>
  <si>
    <t>Those lands where fee title has transferred from the state or local government and put under the custody and accountability of the Air Force without any consideration.</t>
  </si>
  <si>
    <t>Those lands in the CONUS, its territories or possessions, where fee title has been put under the custody and accountability of the Air Force through the power of Eminent Domain.</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</si>
  <si>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</si>
  <si>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</si>
  <si>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</si>
  <si>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Those lands where the Air Force has the privilege to use or pass over (for survey, exploration, etc.) real property at the sufferance of the owner. This excludes lands acquired by withdrawal from public domain or public lands in U.S. territories and possessions.</t>
  </si>
  <si>
    <t>Those lands under the custody and accountability of the Air Force, but are being used by other agencies. This excludes those lands withdrawn from public domain or public land in U.S. Territories, or possessions.</t>
  </si>
  <si>
    <t>Those lands in U.S. Territories and possessions that were put under the custody and accountability of the Air Force by Executive Order.</t>
  </si>
  <si>
    <t>Air rights are the property interest in the "space" above the earth's surface.</t>
  </si>
  <si>
    <t>A group of rights designed to protect the use and enjoyment of water that travels in streams, rivers, lakes, and ponds, gathers on the surface of the earth, or collects underground.</t>
  </si>
  <si>
    <t>Non-possessory interest in land for combating encroachment that can limit or restrict military training, testing, and operations.</t>
  </si>
  <si>
    <t>All other restriction rights not captured elsewhere.</t>
  </si>
  <si>
    <t>This category code identifies those lands under the custody and accountability of the Air Force that have been leased from a nonfederal entity such as the state or local government. This excludes those leases that are subject to a recapture clause.</t>
  </si>
  <si>
    <t>This category code identifies those lands under the custody and accountability of the Air Force that have been leased with the right of recapture.</t>
  </si>
  <si>
    <t>This category code identifies those lands under the custody and accountability of Air Force that have been leased from private enterprises.</t>
  </si>
  <si>
    <t>This category code identifies those lands under the custody and accountability of the Air Force that have been made available under a lease for the purpose of mineral exploration and extraction.</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</si>
  <si>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</si>
  <si>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</si>
  <si>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This category code identifies those lands in a foreign country that are under the custody and accountability of the Air Force by a base rights agreement.</t>
  </si>
  <si>
    <t>This category code identifies those lands in a foreign land that are under the custody and accountability of the Air Force by requisitions.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</si>
  <si>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</si>
  <si>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</si>
  <si>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</si>
  <si>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</si>
  <si>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</si>
  <si>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</si>
  <si>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</si>
  <si>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</si>
  <si>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</si>
  <si>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</si>
  <si>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Sustainment (SUC)</t>
  </si>
  <si>
    <t>Sustainment Model</t>
  </si>
  <si>
    <t>Upper Limit</t>
  </si>
  <si>
    <t>Reset Value</t>
  </si>
  <si>
    <t>Aggregate</t>
  </si>
  <si>
    <t>Alpha Suffix</t>
  </si>
  <si>
    <t>Army CATCodes</t>
  </si>
  <si>
    <t>Navy CATCodes</t>
  </si>
  <si>
    <t>LS</t>
  </si>
  <si>
    <t>AFCEC/COS</t>
  </si>
  <si>
    <t>AF/A3O-A</t>
  </si>
  <si>
    <t>Fixed-Wing Runway, Surfaced</t>
  </si>
  <si>
    <t>SY</t>
  </si>
  <si>
    <t>LF</t>
  </si>
  <si>
    <t>RWS</t>
  </si>
  <si>
    <t>The runway overrun is the portion of the overrun area that is an extension of the runway pavement (excluding shoulders).</t>
  </si>
  <si>
    <t>Runway Overrun Area, Surfaced</t>
  </si>
  <si>
    <t>Runway, Unsurfaced</t>
  </si>
  <si>
    <t>UAV LAUNCH</t>
  </si>
  <si>
    <t>S</t>
  </si>
  <si>
    <t>Unmanned Aerial Vehicle (UAV) Runway and Launch/Recovery Site</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</si>
  <si>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</si>
  <si>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</si>
  <si>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Aircraft Apron, Surfaced</t>
  </si>
  <si>
    <t>11310, 11320, 11330, 11340, 11350, 11380</t>
  </si>
  <si>
    <t>SHFLD TO &amp; LDG ZON</t>
  </si>
  <si>
    <t>PAR</t>
  </si>
  <si>
    <t>Miscellaneous Airfield Pavement, Surfaced</t>
  </si>
  <si>
    <t>SHLDR, PAVED</t>
  </si>
  <si>
    <t>Aircraft Pavement Shoulder</t>
  </si>
  <si>
    <t>PAD, ARM &amp; DISARM</t>
  </si>
  <si>
    <t>AF/A4L</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</si>
  <si>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</si>
  <si>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</si>
  <si>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PAD, HELICOPTER</t>
  </si>
  <si>
    <t>Rotary-Wing Landing Area, Surfaced</t>
  </si>
  <si>
    <t>11120, 11130</t>
  </si>
  <si>
    <t>PAD, POWER CHK</t>
  </si>
  <si>
    <t>PAD, PWR CHK W/SPR</t>
  </si>
  <si>
    <t>PAD, WRMUP HLDG</t>
  </si>
  <si>
    <t>PAD, CALIBRATION</t>
  </si>
  <si>
    <t>Compass Calibration Pad, Surfaced</t>
  </si>
  <si>
    <t>PAD, LCH</t>
  </si>
  <si>
    <t>AFSPC</t>
  </si>
  <si>
    <t>Missile Launching Pad, Surfaced</t>
  </si>
  <si>
    <t>PAD, ACFT WASH RK</t>
  </si>
  <si>
    <t>Aircraft Washing Pad, Surfaced</t>
  </si>
  <si>
    <t>ACFT AREST SYS</t>
  </si>
  <si>
    <t>WR-ALC/642 CBSG</t>
  </si>
  <si>
    <t>Aircraft Arresting System</t>
  </si>
  <si>
    <t>EA</t>
  </si>
  <si>
    <t>BUTT, FIRING-IN</t>
  </si>
  <si>
    <t>AF/A4LW</t>
  </si>
  <si>
    <t>Aircraft Firing-In Butt</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</si>
  <si>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</si>
  <si>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</si>
  <si>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</si>
  <si>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PETROL OPS BLDG</t>
  </si>
  <si>
    <t>B</t>
  </si>
  <si>
    <t>AF/A4LE</t>
  </si>
  <si>
    <t>AFCEC/COS, AFPET/PTOT</t>
  </si>
  <si>
    <t>Miscellaneous Operations Support Building</t>
  </si>
  <si>
    <t>AVFUEL DISPEN</t>
  </si>
  <si>
    <t>Aircraft Direct Fueling Facility</t>
  </si>
  <si>
    <t>OL</t>
  </si>
  <si>
    <t>GM</t>
  </si>
  <si>
    <t>HYDR FL, SYS</t>
  </si>
  <si>
    <t>HYDR FL, BLDG</t>
  </si>
  <si>
    <t>A building containing equipment and functions that directly support operational activities not included in other Facility Analysis Categories.</t>
  </si>
  <si>
    <t>MAR FL DISPEN SYS</t>
  </si>
  <si>
    <t>Marine Fueling Facility</t>
  </si>
  <si>
    <t>VEH FL STN</t>
  </si>
  <si>
    <t>Vehicle Fueling Facility</t>
  </si>
  <si>
    <t>OPG STOR AG, AVGAS</t>
  </si>
  <si>
    <t>Aircraft Operating Fuel Storage</t>
  </si>
  <si>
    <t>GA</t>
  </si>
  <si>
    <t>OPG STOR, AVLUBE</t>
  </si>
  <si>
    <t>OPG STOR AG, DIESEL</t>
  </si>
  <si>
    <t>Vehicle Operating Fuel Storage</t>
  </si>
  <si>
    <t>OPG STOR AG, JET FL</t>
  </si>
  <si>
    <t>OPG STOR AG, MOGAS</t>
  </si>
  <si>
    <t>OPG STOR AG, SOLVENTS</t>
  </si>
  <si>
    <t>Other Operating Fuel Storage</t>
  </si>
  <si>
    <t>OPG STOR AG, SP FL</t>
  </si>
  <si>
    <t>OPG STOR UG, AVGAS</t>
  </si>
  <si>
    <t>OPG STOR UG, DIESEL</t>
  </si>
  <si>
    <t>OPG STOR UG, JET FL</t>
  </si>
  <si>
    <t>OPG STOR UG, MOGAS</t>
  </si>
  <si>
    <t>OPG STOR UG, SOLVENTS</t>
  </si>
  <si>
    <t>OPG STOR UG, SP FL</t>
  </si>
  <si>
    <t>OPG STOR AG,  E-85 ETHANOL</t>
  </si>
  <si>
    <t>OPG STOR AG,  BIO-DIESEL</t>
  </si>
  <si>
    <t>OPG STOR AG,  DIESEL JP-8</t>
  </si>
  <si>
    <t>OPG STOR UG,  E-85 ETHANOL</t>
  </si>
  <si>
    <t>OPG STOR UG,  BIO-DIESEL</t>
  </si>
  <si>
    <t>OPG STOR UG,  DIESEL JP-8</t>
  </si>
  <si>
    <t>PIPING AG, POL</t>
  </si>
  <si>
    <t>POL Piping</t>
  </si>
  <si>
    <t>PIPING UG, POL</t>
  </si>
  <si>
    <t>PIPELINE UG, LF</t>
  </si>
  <si>
    <t>POL Pipeline</t>
  </si>
  <si>
    <t>PIPELINE AG, LF</t>
  </si>
  <si>
    <t>PMP STN, LF</t>
  </si>
  <si>
    <t>POL Pump Station</t>
  </si>
  <si>
    <t>LF FIL STD, TRK</t>
  </si>
  <si>
    <t>Liquid Fuel Loading/Unloading Facility</t>
  </si>
  <si>
    <t>LF STD UNLOAD</t>
  </si>
  <si>
    <t>AFCEC/CXF</t>
  </si>
  <si>
    <t>Airfield Fire And Rescue Station</t>
  </si>
  <si>
    <t>COMM FCLTY</t>
  </si>
  <si>
    <t>AFNIC</t>
  </si>
  <si>
    <t>Communications Building</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</si>
  <si>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</si>
  <si>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</si>
  <si>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</si>
  <si>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</si>
  <si>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COMM, RCVR</t>
  </si>
  <si>
    <t>AFFSA</t>
  </si>
  <si>
    <t>COMM, TMTR RCVR</t>
  </si>
  <si>
    <t>13115, 13117, 13120</t>
  </si>
  <si>
    <t>RAD RELAY FCLTY</t>
  </si>
  <si>
    <t>AFR&amp;T STN</t>
  </si>
  <si>
    <t>Photo/TV Production Building</t>
  </si>
  <si>
    <t>SAT COMM GND TRML</t>
  </si>
  <si>
    <t>Satellite Communications Building</t>
  </si>
  <si>
    <t>COMM, SCATTER</t>
  </si>
  <si>
    <t>AIRCOM REL CEN</t>
  </si>
  <si>
    <t>AUTO SWITCHING CEN</t>
  </si>
  <si>
    <t>AIRCOM RCVR</t>
  </si>
  <si>
    <t>AIRCOM TMTR</t>
  </si>
  <si>
    <t>HF AIRCOM MICROW R</t>
  </si>
  <si>
    <t>SPACE OPS FACILITY</t>
  </si>
  <si>
    <t>SILO, HD ANT HF</t>
  </si>
  <si>
    <t>PAD EQUIP</t>
  </si>
  <si>
    <t>This category code may be used for all equipment.  Not limited to just communication equipment.</t>
  </si>
  <si>
    <t>Miscellaneous Paved Area</t>
  </si>
  <si>
    <t>85235, 85240, 85241</t>
  </si>
  <si>
    <t>ANT SPT STRU</t>
  </si>
  <si>
    <t>NON-DIR BEACON BLDG</t>
  </si>
  <si>
    <t>Aircraft Navigation Building</t>
  </si>
  <si>
    <t>AIR NAV BLDG</t>
  </si>
  <si>
    <t>DIR FINDING, UHF</t>
  </si>
  <si>
    <t>Ultra-high frequency (UHF) is the ITU designation for radio frequencies in the range between 300 MHz and 3 GHz, also known as the decimeter band as the wavelengths range from one to ten decimeters.</t>
  </si>
  <si>
    <t>AFWA</t>
  </si>
  <si>
    <t>Aircraft Navigation Facility</t>
  </si>
  <si>
    <t>AUTO METERO STN</t>
  </si>
  <si>
    <t>RUNWAY DIST MARKERS</t>
  </si>
  <si>
    <t>Use this category code for all airfield signage.</t>
  </si>
  <si>
    <t>REMOTE CON CIR</t>
  </si>
  <si>
    <t>AFNIC, AF/A3O-A</t>
  </si>
  <si>
    <t>GCI</t>
  </si>
  <si>
    <t>GCA FIXED</t>
  </si>
  <si>
    <t>GCA VAULT</t>
  </si>
  <si>
    <t>Utility Vaults</t>
  </si>
  <si>
    <t>GCA/RAPCON SPT BLD</t>
  </si>
  <si>
    <t>ILS GLIDE SLOPE</t>
  </si>
  <si>
    <t>AFNIC, AF/A3O, AFCEC/COS</t>
  </si>
  <si>
    <t>ILS LOCALIZER</t>
  </si>
  <si>
    <t>A marker beacon is a particular type of VHF radio beacon used in aviation, usually in conjunction with an instrument landing system (ILS), to give pilots a means to determine position along an established route to a destination such as a runway.</t>
  </si>
  <si>
    <t>TURNTABLE, RDR</t>
  </si>
  <si>
    <t>RAPCON CEN</t>
  </si>
  <si>
    <t>ASR</t>
  </si>
  <si>
    <t>RAD BEACON FCLTY</t>
  </si>
  <si>
    <t>TACAN STN, FIX</t>
  </si>
  <si>
    <t>A tactical air navigation system, commonly referred to by the acronym TACAN, is a navigation system used by military aircraft. It provides the user with bearing and distance (slant-range) to a ground or ship-borne station.</t>
  </si>
  <si>
    <t>13455, 13456</t>
  </si>
  <si>
    <t>TWR, NAVAID</t>
  </si>
  <si>
    <t>LOW POWER TVOR</t>
  </si>
  <si>
    <t>HI PWR VHR OMNI RG</t>
  </si>
  <si>
    <t>VORTAC FIXED</t>
  </si>
  <si>
    <t>WIND DIR INDCTR</t>
  </si>
  <si>
    <t>AFNIC, AFWA, AF/A3O, AFCEC/COS</t>
  </si>
  <si>
    <t>TEL DUCT FCLTY</t>
  </si>
  <si>
    <t>AF/A3O-A, AFCEC/COS</t>
  </si>
  <si>
    <t>Communications Lines</t>
  </si>
  <si>
    <t>MI</t>
  </si>
  <si>
    <t>TEL POLE FCLTY</t>
  </si>
  <si>
    <t>Airfield Lighting</t>
  </si>
  <si>
    <t>Airfield Pavement Lighting</t>
  </si>
  <si>
    <t>LIGHT, OBST</t>
  </si>
  <si>
    <t>Usually found on buildings near an active runway or on towers/antennas.  Can be either single or double lights.</t>
  </si>
  <si>
    <t>LIGHT, RNWY</t>
  </si>
  <si>
    <t>LIGHT, AFLD SP</t>
  </si>
  <si>
    <t>LIGHT, TWY</t>
  </si>
  <si>
    <t>AIRFLD LIGHT VAULT</t>
  </si>
  <si>
    <t>Ship Navigation Building</t>
  </si>
  <si>
    <t>EMERG OPS CNTR</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</si>
  <si>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</si>
  <si>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AFLD FIRE AND RESC STN</t>
  </si>
  <si>
    <t>14120, 14125</t>
  </si>
  <si>
    <t>CRSH BT CRW STN</t>
  </si>
  <si>
    <t>EOD</t>
  </si>
  <si>
    <t>AFCEC/CEXD</t>
  </si>
  <si>
    <t>14320, 14322</t>
  </si>
  <si>
    <t>GM LCH CON</t>
  </si>
  <si>
    <t>AFA4LW</t>
  </si>
  <si>
    <t>Ballistic Missile Control Facility</t>
  </si>
  <si>
    <t>ACFT SHLTR</t>
  </si>
  <si>
    <t>Aircraft Shelter</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</si>
  <si>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</si>
  <si>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</si>
  <si>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</si>
  <si>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HG, ALERT</t>
  </si>
  <si>
    <t>Aircraft Maintenance Hangar</t>
  </si>
  <si>
    <t>READY SHLTR FAC</t>
  </si>
  <si>
    <t>Air Raid/Fallout/Storm Shelter</t>
  </si>
  <si>
    <t>PN</t>
  </si>
  <si>
    <t>HELI,RESC/RECOVY</t>
  </si>
  <si>
    <t>AERIAL DLVR FCLTY</t>
  </si>
  <si>
    <t>AUDIO-VISUAL FCLTY</t>
  </si>
  <si>
    <t>SAF/PA</t>
  </si>
  <si>
    <t>MOTION PIC LAB</t>
  </si>
  <si>
    <t>FILM STOR VAULT</t>
  </si>
  <si>
    <t>TV PROD FCLTY</t>
  </si>
  <si>
    <t>RDR TMTR COMP BLDG</t>
  </si>
  <si>
    <t>BMEWS = Ballistic Missile Early Warning System</t>
  </si>
  <si>
    <t>RDR TMTR BLDG</t>
  </si>
  <si>
    <t>Air Defense Operations Building</t>
  </si>
  <si>
    <t>RADOME TWR BLDG</t>
  </si>
  <si>
    <t>RDR TWR BLDG</t>
  </si>
  <si>
    <t>CC FCLTY</t>
  </si>
  <si>
    <t>DIR CEN FCLTY</t>
  </si>
  <si>
    <t>DIR CC FCLTY</t>
  </si>
  <si>
    <t>OPS, BSE</t>
  </si>
  <si>
    <t>AFFSA/A3AS, AFWA/A5/8</t>
  </si>
  <si>
    <t>AF/A3O-W, AF/A3O-A</t>
  </si>
  <si>
    <t>Aviation Operations Building</t>
  </si>
  <si>
    <t>OPS, SP</t>
  </si>
  <si>
    <t>AFSOC/A4I / AFIMSC Det 3</t>
  </si>
  <si>
    <t>ACC/A3J</t>
  </si>
  <si>
    <t>OPS, ORD CON PT</t>
  </si>
  <si>
    <t>AF/A4MW</t>
  </si>
  <si>
    <t>OPS AFSS</t>
  </si>
  <si>
    <t>AFISRA</t>
  </si>
  <si>
    <t>AF/A2, AF/A5RI</t>
  </si>
  <si>
    <t>READINESS, CRW</t>
  </si>
  <si>
    <t>14110, 14112</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</si>
  <si>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</si>
  <si>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</si>
  <si>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</si>
  <si>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 OPS BLDG</t>
  </si>
  <si>
    <t>WEA RAWINSONDE</t>
  </si>
  <si>
    <t>AF/A3O-W</t>
  </si>
  <si>
    <t>AFWA, AFNIC</t>
  </si>
  <si>
    <t>SHLTR, WEA INSTM</t>
  </si>
  <si>
    <t>SURF WEA OBS FCLTY</t>
  </si>
  <si>
    <t>AFWA/A5/A8 MAJCOM/A3W</t>
  </si>
  <si>
    <t>MAJCOM/A6</t>
  </si>
  <si>
    <t>R/SONDE CON BLDG</t>
  </si>
  <si>
    <t>AF GLOBAL WEA CEN</t>
  </si>
  <si>
    <t>PHOTO LABE, BSE</t>
  </si>
  <si>
    <t>PHOTO LAB, RECON</t>
  </si>
  <si>
    <t>AF/A5RI</t>
  </si>
  <si>
    <t>WS-430B SPT BLDG</t>
  </si>
  <si>
    <t>SQ OPS</t>
  </si>
  <si>
    <t>ESI FACILITY</t>
  </si>
  <si>
    <t>TECH LAB</t>
  </si>
  <si>
    <t>AFRL</t>
  </si>
  <si>
    <t>Operations Support Lab</t>
  </si>
  <si>
    <t>INTEGR SPT FCLTY</t>
  </si>
  <si>
    <t>LAB, Q/C DEP</t>
  </si>
  <si>
    <t>TECH LAB LF ANA</t>
  </si>
  <si>
    <t>AFPET/PTOT, AFRL</t>
  </si>
  <si>
    <t>TRML, AIR FRT</t>
  </si>
  <si>
    <t>AF/A3O</t>
  </si>
  <si>
    <t>TRML, AIR F/P</t>
  </si>
  <si>
    <t>14111, 14112</t>
  </si>
  <si>
    <t>TRML, AIR PSGR</t>
  </si>
  <si>
    <t>A building at an airport where passengers board and disembark from aircraft.</t>
  </si>
  <si>
    <t>TRML, FLEET SVC</t>
  </si>
  <si>
    <t>DEPLOY PROCESS FAC</t>
  </si>
  <si>
    <t>CNSOL/CNT PT</t>
  </si>
  <si>
    <t>Operations Supply Building</t>
  </si>
  <si>
    <t>MAT PROCESS DEP</t>
  </si>
  <si>
    <t>Covered Storage Building, Depot</t>
  </si>
  <si>
    <t>MSL OPS BLDG</t>
  </si>
  <si>
    <t>RENTRY VEH BLDG</t>
  </si>
  <si>
    <t>AF/A3O-S</t>
  </si>
  <si>
    <t>Missile Operations Building</t>
  </si>
  <si>
    <t>SP FL FCLTY</t>
  </si>
  <si>
    <t>AFSPC, AF/A3O-S, AFPET/PTOT</t>
  </si>
  <si>
    <t>Liquid Oxygen Storage</t>
  </si>
  <si>
    <t>MSL GDNC FCLTY</t>
  </si>
  <si>
    <t>Missile Guidance Facility</t>
  </si>
  <si>
    <t>MSL TSFR BLDG</t>
  </si>
  <si>
    <t>SHIP OPS BLDG</t>
  </si>
  <si>
    <t>Ship Operations Building</t>
  </si>
  <si>
    <t>STOR, OPS</t>
  </si>
  <si>
    <t>VEH HOLDING SHED</t>
  </si>
  <si>
    <t>DISPATCH BLDG</t>
  </si>
  <si>
    <t>READY BLDG</t>
  </si>
  <si>
    <t>Security Force Building</t>
  </si>
  <si>
    <t>OVERHEAD PROTEC</t>
  </si>
  <si>
    <t>Overhead Cover</t>
  </si>
  <si>
    <t>ACFT SUN SHELT</t>
  </si>
  <si>
    <t>ANTENNA, SPACE</t>
  </si>
  <si>
    <t>Missile Defense Facility</t>
  </si>
  <si>
    <t>ANCLY EXPLO FCLTY</t>
  </si>
  <si>
    <t>AFSC/SEW</t>
  </si>
  <si>
    <t>Explosives Holding/Transfer Facility</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</si>
  <si>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</si>
  <si>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</si>
  <si>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GDNC STN, P/ACFT</t>
  </si>
  <si>
    <t>AF/A5RI, JUAS</t>
  </si>
  <si>
    <t>AF/A5RC</t>
  </si>
  <si>
    <t>MSL LCH FCLTY</t>
  </si>
  <si>
    <t>Strategic Missile Launch Facility</t>
  </si>
  <si>
    <t>GDNC STN MSL</t>
  </si>
  <si>
    <t>WD MEA SET ANGMQ20</t>
  </si>
  <si>
    <t>AFWA/A5/A8, MAJCOM/A3W</t>
  </si>
  <si>
    <t>CEILOMETER ANGMQ13</t>
  </si>
  <si>
    <t>TRANSMSTR ANGMQ10</t>
  </si>
  <si>
    <t>Transmissometers are referred to as telephotometers, transmittance meters, or hazemeters. A transmissometer is an instrument for measuring the extinction coefficient of the atmosphere, and for the determination of visual range.</t>
  </si>
  <si>
    <t>TEM/HUM MEA SET</t>
  </si>
  <si>
    <t>DIG WIND MEA SYS</t>
  </si>
  <si>
    <t>LGT WAR SET ANGMH7</t>
  </si>
  <si>
    <t>RDR MET SET C-BAND</t>
  </si>
  <si>
    <t>CENT WASH FAC</t>
  </si>
  <si>
    <t>Tactical Vehicle Wash Facility</t>
  </si>
  <si>
    <t>COLD FOG DSPAL SYS</t>
  </si>
  <si>
    <t>Aircraft Support Facility</t>
  </si>
  <si>
    <t>MSL SHAFT, ACCES</t>
  </si>
  <si>
    <t>AF/A4LW, AFSPC</t>
  </si>
  <si>
    <t>AF/A5RW</t>
  </si>
  <si>
    <t>Missile Access Shaft</t>
  </si>
  <si>
    <t>Missile Access Tunnel</t>
  </si>
  <si>
    <t>SHED, OPS</t>
  </si>
  <si>
    <t>Covered Storage Shed, Installation</t>
  </si>
  <si>
    <t>VEH TEST TRACK</t>
  </si>
  <si>
    <t>TWR, CON</t>
  </si>
  <si>
    <t>AF/A3O-AO</t>
  </si>
  <si>
    <t>Air Control Tower</t>
  </si>
  <si>
    <t>TWR, RDR</t>
  </si>
  <si>
    <t>TWR, OBS</t>
  </si>
  <si>
    <t>An observation tower is a structure used to view events from a long distance and to create a full 360 degree range of vision. They are usually at least 20 meters (65.6 feet) tall and made from stone, iron, and wood.</t>
  </si>
  <si>
    <t>TWR, SP</t>
  </si>
  <si>
    <t>PIER, CARGO</t>
  </si>
  <si>
    <t>Pier</t>
  </si>
  <si>
    <t>FB</t>
  </si>
  <si>
    <t>PIER, LF UNLOAD</t>
  </si>
  <si>
    <t>AF/A4LE, AFPET/PTOT</t>
  </si>
  <si>
    <t>Wharf</t>
  </si>
  <si>
    <t>WTR FRONT IMPR</t>
  </si>
  <si>
    <t>Shore Erosion Prevention Facility</t>
  </si>
  <si>
    <t>15410, 15420, 15430, 15432</t>
  </si>
  <si>
    <t>15410, 15430</t>
  </si>
  <si>
    <t>Small Craft Berthing</t>
  </si>
  <si>
    <t>WHSE, T/CARGO</t>
  </si>
  <si>
    <t>15610, 15620</t>
  </si>
  <si>
    <t>LF O/SHORE UNLOAD</t>
  </si>
  <si>
    <t>Offshore Mooring Facility</t>
  </si>
  <si>
    <t>16310, 16320, 16330</t>
  </si>
  <si>
    <t>HAR MAR IMPR</t>
  </si>
  <si>
    <t>Harbor Marine Improvements</t>
  </si>
  <si>
    <t>16410, 16420, 16440, 16450</t>
  </si>
  <si>
    <t>16410, 16420</t>
  </si>
  <si>
    <t>AFSFC/SFX</t>
  </si>
  <si>
    <t>USAFA</t>
  </si>
  <si>
    <t>Small Arms Storage, Installation</t>
  </si>
  <si>
    <t>ACAD LECT HALL</t>
  </si>
  <si>
    <t>AETC</t>
  </si>
  <si>
    <t>2AF, 19AF, AU, USAFA</t>
  </si>
  <si>
    <t>General Purpose Instruction Building</t>
  </si>
  <si>
    <t>ACAD EXHBT FCLTY</t>
  </si>
  <si>
    <t>AFHRA</t>
  </si>
  <si>
    <t>AF/HO</t>
  </si>
  <si>
    <t>Museum</t>
  </si>
  <si>
    <t>Physical Education Building</t>
  </si>
  <si>
    <t>Band Training Facility</t>
  </si>
  <si>
    <t>FLY TNG CLASSROOM</t>
  </si>
  <si>
    <t>19AF/A3</t>
  </si>
  <si>
    <t>AETC/A3F/A5R, AF/A3O-AT</t>
  </si>
  <si>
    <t>FLT SIMLTR TNG</t>
  </si>
  <si>
    <t>AETC/A3, AETC/A3ZA</t>
  </si>
  <si>
    <t>AETC/A3F/A5R, AMC/A3TR, AF/A3O-AT</t>
  </si>
  <si>
    <t>Flight Simulator Facility</t>
  </si>
  <si>
    <t>PHYSL TNG</t>
  </si>
  <si>
    <t>AETC/A3</t>
  </si>
  <si>
    <t>Physiological Training Facility</t>
  </si>
  <si>
    <t>HUMAN CTR</t>
  </si>
  <si>
    <t>LIB, TECH &amp; PROF</t>
  </si>
  <si>
    <t>2AF, AU, USAFA</t>
  </si>
  <si>
    <t>General Administrative Building</t>
  </si>
  <si>
    <t>NAV TNG CEL/PLANT</t>
  </si>
  <si>
    <t>Applied Instruction Building</t>
  </si>
  <si>
    <t>RES FORCES G/TNG S</t>
  </si>
  <si>
    <t>AFRC</t>
  </si>
  <si>
    <t>Reserve Training Facility</t>
  </si>
  <si>
    <t>17140, 17141</t>
  </si>
  <si>
    <t>RES FORCES OPL TNG</t>
  </si>
  <si>
    <t>RES FORCES C-E TNG</t>
  </si>
  <si>
    <t>RES FORCES A-E TNG</t>
  </si>
  <si>
    <t>RES COMP MED TNG</t>
  </si>
  <si>
    <t>RG CON HSE</t>
  </si>
  <si>
    <t>AFSFC/SFXW</t>
  </si>
  <si>
    <t>575 CBSS/WR-ALC, AFCEC/CFT, AFCEC/COS</t>
  </si>
  <si>
    <t>Range Support Building</t>
  </si>
  <si>
    <t>RG SUP &amp; EQUP STOR</t>
  </si>
  <si>
    <t>RG TGT STOR &amp; PR</t>
  </si>
  <si>
    <t>RG SM ARM INDOR</t>
  </si>
  <si>
    <t>Indoor Firing Range and Supporting Facility</t>
  </si>
  <si>
    <t>CATM BLDG</t>
  </si>
  <si>
    <t>TNG AID SHP</t>
  </si>
  <si>
    <t>2AF</t>
  </si>
  <si>
    <t>Training Aids Support Building</t>
  </si>
  <si>
    <t>FLD TNG FCLTY</t>
  </si>
  <si>
    <t>FTD = Field Training Detachment</t>
  </si>
  <si>
    <t>AETC/A5T</t>
  </si>
  <si>
    <t>RSU</t>
  </si>
  <si>
    <t>RUNWAY CON STRUCT</t>
  </si>
  <si>
    <t>TECH TNG CLASSROOM</t>
  </si>
  <si>
    <t>TECH TNG LAB/SHP</t>
  </si>
  <si>
    <t>17131, 17132, 17133, 17135, 17136, 17137, 17138</t>
  </si>
  <si>
    <t>HIGH-BAY TECH TNG</t>
  </si>
  <si>
    <t>2AF, 19AF</t>
  </si>
  <si>
    <t>ATC TECH TNG SPT</t>
  </si>
  <si>
    <t>LCH OPS TNG FAC</t>
  </si>
  <si>
    <t>TGT INTEL TNG</t>
  </si>
  <si>
    <t>AETC/A2OI</t>
  </si>
  <si>
    <t>ORG CLASSROOM</t>
  </si>
  <si>
    <t>Organizational Classroom</t>
  </si>
  <si>
    <t>SAFETY ED FCLTY</t>
  </si>
  <si>
    <t>AFSC/SEM</t>
  </si>
  <si>
    <t>NCO PROF ED CEN</t>
  </si>
  <si>
    <t>AU/A5/A8</t>
  </si>
  <si>
    <t>RECRT PROCESSING</t>
  </si>
  <si>
    <t>AETC/RS</t>
  </si>
  <si>
    <t>BMT (ATC)</t>
  </si>
  <si>
    <t>OFF TNG (ATC)</t>
  </si>
  <si>
    <t>2AF, AETC</t>
  </si>
  <si>
    <t>AU PROF/TECH ED</t>
  </si>
  <si>
    <t>USAFA ACADEMIC TNG</t>
  </si>
  <si>
    <t>MUN LOAD CREW TNG</t>
  </si>
  <si>
    <t>Gas Training Facility</t>
  </si>
  <si>
    <t>General Purpose Simulator Facility</t>
  </si>
  <si>
    <t>SIM CENTER</t>
  </si>
  <si>
    <t>BATTLE LAB</t>
  </si>
  <si>
    <t>OTH COV TRAIN AREA</t>
  </si>
  <si>
    <t>Training Support Structure</t>
  </si>
  <si>
    <t>OBSER BUNKER</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</si>
  <si>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</si>
  <si>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</si>
  <si>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</si>
  <si>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</si>
  <si>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FIELD TNG AREA</t>
  </si>
  <si>
    <t>MAN/TRN AREA LT</t>
  </si>
  <si>
    <t>17410, 17411</t>
  </si>
  <si>
    <t>MAN/TRN AREA HV</t>
  </si>
  <si>
    <t>Maneuver/Training Land, Heavy Forces</t>
  </si>
  <si>
    <t>IMPACT NON-DUD</t>
  </si>
  <si>
    <t>Weapons Impact Area</t>
  </si>
  <si>
    <t>IMPACT AREA DUD</t>
  </si>
  <si>
    <t>Parachute Drop Zone</t>
  </si>
  <si>
    <t>PARADE/DRIL FLD</t>
  </si>
  <si>
    <t>Parade and Drill Field</t>
  </si>
  <si>
    <t>BASIC 10/25M RG</t>
  </si>
  <si>
    <t>Zero Range</t>
  </si>
  <si>
    <t>FP</t>
  </si>
  <si>
    <t>AUTO FD FIRE RG</t>
  </si>
  <si>
    <t>Field Fire Range</t>
  </si>
  <si>
    <t>MOD REC FIR RG</t>
  </si>
  <si>
    <t>Record Fire Range</t>
  </si>
  <si>
    <t>AUTO REC FIR RG</t>
  </si>
  <si>
    <t>NIGHT FIRE RNG</t>
  </si>
  <si>
    <t>Night Fire Range</t>
  </si>
  <si>
    <t>AUTO NIGHT FIRE</t>
  </si>
  <si>
    <t>KD RANGE</t>
  </si>
  <si>
    <t>Known Distance Range</t>
  </si>
  <si>
    <t>SNIPER RANGE</t>
  </si>
  <si>
    <t>Sniper Range</t>
  </si>
  <si>
    <t>AUTO SNIPER RNG</t>
  </si>
  <si>
    <t>CBT PISTOL CRS</t>
  </si>
  <si>
    <t>Pistol Range</t>
  </si>
  <si>
    <t>17571, 17572</t>
  </si>
  <si>
    <t>MG FLD FIRE RG</t>
  </si>
  <si>
    <t>Machinegun Range</t>
  </si>
  <si>
    <t>40MM GR MG QUAL</t>
  </si>
  <si>
    <t>Grenade Machinegun Range</t>
  </si>
  <si>
    <t>LN</t>
  </si>
  <si>
    <t>LAW RNG SUBCAL</t>
  </si>
  <si>
    <t>Light Antiarmor Weapon Range</t>
  </si>
  <si>
    <t>LAW RANGE</t>
  </si>
  <si>
    <t>FA DIRECT RNG</t>
  </si>
  <si>
    <t>Artillery Direct Fire Range</t>
  </si>
  <si>
    <t>STN GUNNERY RNG</t>
  </si>
  <si>
    <t>Tank Stationary Gunnery Range</t>
  </si>
  <si>
    <t>Indirect Fire Range</t>
  </si>
  <si>
    <t>FA INDIRECT RNG</t>
  </si>
  <si>
    <t>MORT SCALED RNG</t>
  </si>
  <si>
    <t>Scaled Indirect Fire Range</t>
  </si>
  <si>
    <t>DIGITAL MPTR</t>
  </si>
  <si>
    <t>Armor Vehicle Crew Training Range</t>
  </si>
  <si>
    <t>AUTOMATED MPTR</t>
  </si>
  <si>
    <t>SCOUT RECCE GUN</t>
  </si>
  <si>
    <t>Armor Vehicle Unit Training Range</t>
  </si>
  <si>
    <t>17721, 17722</t>
  </si>
  <si>
    <t>SQD DEF RNG</t>
  </si>
  <si>
    <t>Squad Defense Range</t>
  </si>
  <si>
    <t>INF SQ BTL CSE</t>
  </si>
  <si>
    <t>Infantry Battle Course</t>
  </si>
  <si>
    <t>URBAN ASLT CRS</t>
  </si>
  <si>
    <t>Urban Combat Training Range</t>
  </si>
  <si>
    <t>LIVE FIRE SHOOT</t>
  </si>
  <si>
    <t>CONVOY LIVE FIRE RANGE</t>
  </si>
  <si>
    <t>Convoy Live Fire Range</t>
  </si>
  <si>
    <t>LIV HAND GR RNG</t>
  </si>
  <si>
    <t>Live Hand Grenade Range</t>
  </si>
  <si>
    <t>ENGR QUALIFICATION RNG</t>
  </si>
  <si>
    <t>Engineer Qualification Range</t>
  </si>
  <si>
    <t>17888, 17889</t>
  </si>
  <si>
    <t>17820, 17821</t>
  </si>
  <si>
    <t>LT DEMO RNG</t>
  </si>
  <si>
    <t>INF PLT BTL CSE</t>
  </si>
  <si>
    <t>TNG MOCK-UPS</t>
  </si>
  <si>
    <t>Miscellaneous Training Facility</t>
  </si>
  <si>
    <t>17958, 17959, 17962</t>
  </si>
  <si>
    <t>CONFIDENCE CSE</t>
  </si>
  <si>
    <t>BAYNET ASLT CRS</t>
  </si>
  <si>
    <t>MINE WR AREA</t>
  </si>
  <si>
    <t>TGT DETEC RG NF</t>
  </si>
  <si>
    <t>FLOAT BRDG SITE</t>
  </si>
  <si>
    <t>A pontoon bridge or floating bridge or bridge of boats is a bridge that floats on water and in which barge- or boat-like pontoons support the bridge deck and its dynamic loads.</t>
  </si>
  <si>
    <t>POW TNG AREA</t>
  </si>
  <si>
    <t>WH VEH DV CSE</t>
  </si>
  <si>
    <t>RAPPEL TRN AREA</t>
  </si>
  <si>
    <t>MED/HV EQUIP TR</t>
  </si>
  <si>
    <t>POL TRAIN AREA</t>
  </si>
  <si>
    <t>Training Pool and Tank</t>
  </si>
  <si>
    <t>PRCHT SWING TNG AERIAL GUNY RG</t>
  </si>
  <si>
    <t>AETC/A3ZA, 19AF</t>
  </si>
  <si>
    <t>AERIAL GUNY RG</t>
  </si>
  <si>
    <t>Attack Helicopter Weapons Range</t>
  </si>
  <si>
    <t>TNG AID</t>
  </si>
  <si>
    <t>AETC/A5</t>
  </si>
  <si>
    <t>MULTI</t>
  </si>
  <si>
    <t>RG, SM ARMS SYS</t>
  </si>
  <si>
    <t>General Purpose Small Arms Range</t>
  </si>
  <si>
    <t>17502, 17940</t>
  </si>
  <si>
    <t>17823, 17831, 17832, 17833</t>
  </si>
  <si>
    <t>17580, 17582</t>
  </si>
  <si>
    <t>GRENADE GUN RANGE</t>
  </si>
  <si>
    <t>Grenade Launcher Range</t>
  </si>
  <si>
    <t>RG, ACFT</t>
  </si>
  <si>
    <t>AF/A3O-AR</t>
  </si>
  <si>
    <t>AFCEC/CFT</t>
  </si>
  <si>
    <t>Aircraft Weapons Range</t>
  </si>
  <si>
    <t>FIREMAN TNG FCLTY</t>
  </si>
  <si>
    <t>FIRE TRN, ENC</t>
  </si>
  <si>
    <t>Enclosed Fire Fighter Trainer Facility</t>
  </si>
  <si>
    <t>CBT IN CITY FAC</t>
  </si>
  <si>
    <t>Urban Combat Training Area, Non-Fire</t>
  </si>
  <si>
    <t>HAND GR ACC NF</t>
  </si>
  <si>
    <t>Hand Grenade Range, Non-Firing</t>
  </si>
  <si>
    <t>HAND GR QUAL NF</t>
  </si>
  <si>
    <t>INFILTRAT CSE</t>
  </si>
  <si>
    <t>Infiltration Course, Live Fire</t>
  </si>
  <si>
    <t>LEADERSHIP RCRS</t>
  </si>
  <si>
    <t>HG, MAINT</t>
  </si>
  <si>
    <t>21104, 21105, 31105</t>
  </si>
  <si>
    <t>HG, MAINT DEP</t>
  </si>
  <si>
    <t>WR-ALC/402 AMXG</t>
  </si>
  <si>
    <t>Aircraft Maintenance Hangar, Depot</t>
  </si>
  <si>
    <t>SHLTR A/W CALBR</t>
  </si>
  <si>
    <t>Aircraft Maintenance Shop</t>
  </si>
  <si>
    <t>UAV HANGR</t>
  </si>
  <si>
    <t>SHP ACFT GEN PURP</t>
  </si>
  <si>
    <t>21106, 21108, 21115, 21121</t>
  </si>
  <si>
    <t>SHP NON-DESTR INSP</t>
  </si>
  <si>
    <t>SHP A/M ORGL</t>
  </si>
  <si>
    <t>AF/A4O-A</t>
  </si>
  <si>
    <t>SHP JET ENG I/MNT</t>
  </si>
  <si>
    <t>Aircraft Maintenance Shop, Depot</t>
  </si>
  <si>
    <t>ACFT COR CON</t>
  </si>
  <si>
    <t>Aircraft Corrosion Control Hangar</t>
  </si>
  <si>
    <t>COR CON UTIL STOR</t>
  </si>
  <si>
    <t>Hazardous Materials Storage, Installation</t>
  </si>
  <si>
    <t>CF</t>
  </si>
  <si>
    <t>RADAR TURNTBL BLDG</t>
  </si>
  <si>
    <t>Aircraft RDT&amp;E Facility</t>
  </si>
  <si>
    <t>MAINT DOCK, FL SYS</t>
  </si>
  <si>
    <t>TST CELL</t>
  </si>
  <si>
    <t>WR-ALC/579 CBSS</t>
  </si>
  <si>
    <t>Aircraft Engine Test Building</t>
  </si>
  <si>
    <t>TST STD</t>
  </si>
  <si>
    <t>Aircraft Engine Test Facility</t>
  </si>
  <si>
    <t>21181, 21183</t>
  </si>
  <si>
    <t>SHP TURBINE DEP</t>
  </si>
  <si>
    <t>SHP RAM AIR DEP</t>
  </si>
  <si>
    <t>SHP ALTNR DRIVE/D</t>
  </si>
  <si>
    <t>SHP ACFT &amp; ENG DEP</t>
  </si>
  <si>
    <t>SHP ENG TST&amp;STOR/D</t>
  </si>
  <si>
    <t>SHP INSTM OVHL DEP</t>
  </si>
  <si>
    <t>MAINT AC SPAR/STG</t>
  </si>
  <si>
    <t>SHP MSL ASMB</t>
  </si>
  <si>
    <t>ACC/A4W</t>
  </si>
  <si>
    <t>Missile Maintenance/Assembly Building</t>
  </si>
  <si>
    <t>SHP TAC MSL G/W</t>
  </si>
  <si>
    <t>21210, 21230</t>
  </si>
  <si>
    <t>SHP MSL RUN/UP</t>
  </si>
  <si>
    <t>SHP MSL SVC</t>
  </si>
  <si>
    <t>SHP MSL WH ASMB</t>
  </si>
  <si>
    <t>Missile/Launcher Maintenance Support Facility</t>
  </si>
  <si>
    <t>SHP MSL BATTERY</t>
  </si>
  <si>
    <t>INTCRTD MAINT FAC</t>
  </si>
  <si>
    <t>SHP P/ACFT</t>
  </si>
  <si>
    <t>AF/A4LM</t>
  </si>
  <si>
    <t>JUAS COE</t>
  </si>
  <si>
    <t>BT STOR</t>
  </si>
  <si>
    <t>Small Craft Building</t>
  </si>
  <si>
    <t>MAR MAINT SHP</t>
  </si>
  <si>
    <t>Marine Maintenance Shop</t>
  </si>
  <si>
    <t>21330, 21341, 21349, 21351, 21356, 21358, 21361</t>
  </si>
  <si>
    <t>MAR RAILWAY</t>
  </si>
  <si>
    <t>Marine Railway</t>
  </si>
  <si>
    <t>MARINE MAINT SPT FAC</t>
  </si>
  <si>
    <t>Marine Maintenance Support Facility</t>
  </si>
  <si>
    <t>21367, 21368, 21370, 21375, 21540, 21373, 21374</t>
  </si>
  <si>
    <t>SHP SUP BLD</t>
  </si>
  <si>
    <t>VEH SVC RACK</t>
  </si>
  <si>
    <t>Vehicle Maintenance Facility</t>
  </si>
  <si>
    <t>21455, 21456</t>
  </si>
  <si>
    <t>VEH MAIN SHP</t>
  </si>
  <si>
    <t>Vehicle Maintenance Shop</t>
  </si>
  <si>
    <t>21410, 21420, 21451, 21453</t>
  </si>
  <si>
    <t>Vehicle Storage, Covered</t>
  </si>
  <si>
    <t>VEH OPS PKNG SHED</t>
  </si>
  <si>
    <t>VEH REEL HDN SHLTR</t>
  </si>
  <si>
    <t>SHP, REFL VEH</t>
  </si>
  <si>
    <t>T/ERCTR TST FCLTY</t>
  </si>
  <si>
    <t>AFSPC/A4MI</t>
  </si>
  <si>
    <t>Launch Vehicle Test Facility</t>
  </si>
  <si>
    <t>SHP, WPN &amp; RLSE SYS</t>
  </si>
  <si>
    <t>Weapon Maintenance Shop</t>
  </si>
  <si>
    <t>SHP, A/WPN/O/DEP</t>
  </si>
  <si>
    <t>WR-ALC/782 CBSG</t>
  </si>
  <si>
    <t>Weapon Maintenance Shop, Depot</t>
  </si>
  <si>
    <t>SHP, ORD EQUIP/D</t>
  </si>
  <si>
    <t>SHP, CTRGE/O/DEP</t>
  </si>
  <si>
    <t>SHP, SRVLL INSP</t>
  </si>
  <si>
    <t>Special Weapon Maintenance Shop</t>
  </si>
  <si>
    <t>SHP CONVL MUN</t>
  </si>
  <si>
    <t>Ammunition Maintenance Shop, Depot</t>
  </si>
  <si>
    <t>21610,21612, 21620, 21622, 21630, 21640, 21642, 21650</t>
  </si>
  <si>
    <t>21610, 21620, 21630</t>
  </si>
  <si>
    <t>SHP AVIONICS</t>
  </si>
  <si>
    <t>WR-ALC/752 CBSG</t>
  </si>
  <si>
    <t>Electronic and Communication Maintenance Shop</t>
  </si>
  <si>
    <t>ECM POD SHP &amp; STOR</t>
  </si>
  <si>
    <t>ACC/A4MA</t>
  </si>
  <si>
    <t>SHP, ICBM/TAC C-E</t>
  </si>
  <si>
    <t>SHP, ELCT O&amp;T/D</t>
  </si>
  <si>
    <t>Electronic and Communication Maintenance Shop, Depot</t>
  </si>
  <si>
    <t>SHP, RADOM O&amp;T/D</t>
  </si>
  <si>
    <t>AFCS MAINT FCLTY</t>
  </si>
  <si>
    <t>21710, 21777</t>
  </si>
  <si>
    <t>SHP MET EQUIP</t>
  </si>
  <si>
    <t>SHP NAVAID</t>
  </si>
  <si>
    <t>SHP, RG/WNG SYS CE</t>
  </si>
  <si>
    <t>GEN ITM REP DOL</t>
  </si>
  <si>
    <t>Installation Support Vehicle Maintenance Shop</t>
  </si>
  <si>
    <t>MNT GEN PURPOSE</t>
  </si>
  <si>
    <t>INSTL SPT EQP MAINT SHOP</t>
  </si>
  <si>
    <t>Installation Support Equipment Maintenance Shop</t>
  </si>
  <si>
    <t>SHP A/SE STOR FCLT</t>
  </si>
  <si>
    <t>SHP,FUR RPR O/S</t>
  </si>
  <si>
    <t>Facility Engineer Maintenance Shop</t>
  </si>
  <si>
    <t>SHP SHLTR LCMTV</t>
  </si>
  <si>
    <t>Railroad Equipment Shop</t>
  </si>
  <si>
    <t>SHP SURV EQUIP</t>
  </si>
  <si>
    <t>AF/A4LA</t>
  </si>
  <si>
    <t>LAB, PME</t>
  </si>
  <si>
    <t>AF/A4LF</t>
  </si>
  <si>
    <t>WR-ALC/562 CBSG
(AFMETCAL)</t>
  </si>
  <si>
    <t>BE MAINT SHOP</t>
  </si>
  <si>
    <t>21910, 21925, 21930, 21977</t>
  </si>
  <si>
    <t>BE HOSP MAINT SHP</t>
  </si>
  <si>
    <t>AFMSA</t>
  </si>
  <si>
    <t>BE STOR CV FCTLY</t>
  </si>
  <si>
    <t>Covered Storage Building, Installation</t>
  </si>
  <si>
    <t>BE STOR SHED</t>
  </si>
  <si>
    <t>PROD, ACFT</t>
  </si>
  <si>
    <t>Aircraft Production Plant</t>
  </si>
  <si>
    <t>PROD, ACFT ENG</t>
  </si>
  <si>
    <t>PROD, GM</t>
  </si>
  <si>
    <t>Missile Production Plant</t>
  </si>
  <si>
    <t>PROD, AMMO EX/TX</t>
  </si>
  <si>
    <t>Ammunition Production Plant</t>
  </si>
  <si>
    <t>PROD, ELCT COMM</t>
  </si>
  <si>
    <t>Electronic and Communication Production Plant</t>
  </si>
  <si>
    <t>PROD, NAV/GUID SYS</t>
  </si>
  <si>
    <t>PROD, MISC PROC</t>
  </si>
  <si>
    <t>Miscellaneous Support Production Plant</t>
  </si>
  <si>
    <t>ASPHALT PLT</t>
  </si>
  <si>
    <t>CONCRETE PLT</t>
  </si>
  <si>
    <t>This facility is normally the property of the Base Civil Engineer.</t>
  </si>
  <si>
    <t>OXYGEN GEN PLT</t>
  </si>
  <si>
    <t>Installation Gas Production Plant</t>
  </si>
  <si>
    <t>ROCK CRSHR PLT</t>
  </si>
  <si>
    <t>SC LAB PHYSICS</t>
  </si>
  <si>
    <t>RDT&amp;E Laboratory</t>
  </si>
  <si>
    <t>SC LAB SONIC</t>
  </si>
  <si>
    <t>SC LAB ASTROPHY</t>
  </si>
  <si>
    <t>SC LAB PERS RSCH</t>
  </si>
  <si>
    <t>SC LAB CML</t>
  </si>
  <si>
    <t>SC LAB GRD ELECT</t>
  </si>
  <si>
    <t>SC LAB NUCLEON</t>
  </si>
  <si>
    <t>SC LAB GEOPHY</t>
  </si>
  <si>
    <t>SC LAB MED</t>
  </si>
  <si>
    <t>Medical Research Laboratory</t>
  </si>
  <si>
    <t>SC LAB H/ENGRG</t>
  </si>
  <si>
    <t>SC LAB SOLAR</t>
  </si>
  <si>
    <t>SC LAB RADIAT</t>
  </si>
  <si>
    <t>SC LAB A/ENVRMT</t>
  </si>
  <si>
    <t>SC LAB DY-ENVRMTL</t>
  </si>
  <si>
    <t>SC LAB MET</t>
  </si>
  <si>
    <t>SC LAB CIVIL ENGRG</t>
  </si>
  <si>
    <t>SC LAB BIOLOG</t>
  </si>
  <si>
    <t>SC LAB LASER</t>
  </si>
  <si>
    <t>SC LAB AVIONICS</t>
  </si>
  <si>
    <t>SC LAB MATERIALS</t>
  </si>
  <si>
    <t>31015, 31023</t>
  </si>
  <si>
    <t>NUC ENGRG TST BLDG</t>
  </si>
  <si>
    <t>ACFT DY RSCH ENG</t>
  </si>
  <si>
    <t>ACFT DY RSH TEST</t>
  </si>
  <si>
    <t>ACFT RSCH LAB</t>
  </si>
  <si>
    <t>ACFT RSCH ENG</t>
  </si>
  <si>
    <t>ACFT RSCH TEST</t>
  </si>
  <si>
    <t>MSL/SPACE RSCH LAB</t>
  </si>
  <si>
    <t>Missile and Space RDT&amp;E Facility</t>
  </si>
  <si>
    <t>31210, 31220</t>
  </si>
  <si>
    <t>MSL/SPACE RSCH ENG</t>
  </si>
  <si>
    <t>31210, 31220, 31225, 31230</t>
  </si>
  <si>
    <t>MSL/SPACE RSC ENG</t>
  </si>
  <si>
    <t>SATEL CON STATION</t>
  </si>
  <si>
    <t>ARMT R-L BALLIS</t>
  </si>
  <si>
    <t>Weapons RDT&amp;E Facility</t>
  </si>
  <si>
    <t>ARMT RSCH ENG</t>
  </si>
  <si>
    <t>ARMT RSCH TEST</t>
  </si>
  <si>
    <t>LAB WPN GDNC</t>
  </si>
  <si>
    <t>AMMO EXP &amp; TOX LAB</t>
  </si>
  <si>
    <t>Ammunition, Explosive, and Toxic RDT&amp;E Facility</t>
  </si>
  <si>
    <t>ELEC RSCH LAB</t>
  </si>
  <si>
    <t>Electronic and Communication RDT&amp;E Facility</t>
  </si>
  <si>
    <t>31710, 31720, 31725</t>
  </si>
  <si>
    <t>ELEC RSCH ENG</t>
  </si>
  <si>
    <t>ELEC RSCH TST</t>
  </si>
  <si>
    <t>AVIONICS RSCH LAB</t>
  </si>
  <si>
    <t>PRPLN R-L A/BRETG</t>
  </si>
  <si>
    <t>Propulsion RDT&amp;E Facility</t>
  </si>
  <si>
    <t>PRPLN R-L NA/BRETG</t>
  </si>
  <si>
    <t>PRPLN R-L ELEC</t>
  </si>
  <si>
    <t>PRPLN R-L FUEL/LUB</t>
  </si>
  <si>
    <t>STOR, RDTE</t>
  </si>
  <si>
    <t>Miscellaneous Item and Equipment RDT&amp;E Facility</t>
  </si>
  <si>
    <t>EQUIP RSCH LAB</t>
  </si>
  <si>
    <t>EQUIP RSCH ENG</t>
  </si>
  <si>
    <t>EQUIP RSCH TEST</t>
  </si>
  <si>
    <t>MAT RSCH TEST LAB</t>
  </si>
  <si>
    <t>TST TRACK BLDG</t>
  </si>
  <si>
    <t>AFMC is the primary user.</t>
  </si>
  <si>
    <t>RSCH EQUIP STOR</t>
  </si>
  <si>
    <t>Controlled Humidity Storage, Depot</t>
  </si>
  <si>
    <t>PROTO MDL CONST&amp;A</t>
  </si>
  <si>
    <t>RDT&amp;E Technical Service Facility</t>
  </si>
  <si>
    <t>MSL INSTM STN</t>
  </si>
  <si>
    <t>RDT&amp;E Range Facility</t>
  </si>
  <si>
    <t>MSL RDR STN</t>
  </si>
  <si>
    <t>MSL THODLIST STN</t>
  </si>
  <si>
    <t>MSL COMM STN</t>
  </si>
  <si>
    <t>TST RP COMPLX</t>
  </si>
  <si>
    <t>RDT&amp;E Range Complex</t>
  </si>
  <si>
    <t>ADYN W-T SUBSON</t>
  </si>
  <si>
    <t>Miscellaneous RDT&amp;E Facility</t>
  </si>
  <si>
    <t>ADYN W-T SUPSON</t>
  </si>
  <si>
    <t>Aerodynamic wind tunnel</t>
  </si>
  <si>
    <t>ADYN W-T TRNSON</t>
  </si>
  <si>
    <t>ADYN W-T HYPSON</t>
  </si>
  <si>
    <t>GDYN W-T SUPSON</t>
  </si>
  <si>
    <t>A/RSCH TST</t>
  </si>
  <si>
    <t>RDT&amp;E RANGE</t>
  </si>
  <si>
    <t>RDT&amp;E Area</t>
  </si>
  <si>
    <t>ARMT RSCH TST STRU</t>
  </si>
  <si>
    <t>ELCT RSCH RDR</t>
  </si>
  <si>
    <t>ELCT RSCH NAVAID</t>
  </si>
  <si>
    <t>MSL LCH TST FCLTY</t>
  </si>
  <si>
    <t>MSL LDG TST FCLTY</t>
  </si>
  <si>
    <t>MSL STOR FL</t>
  </si>
  <si>
    <t>PRPLN ENG T/FL SYS</t>
  </si>
  <si>
    <t>PRPLN ENG T/STD</t>
  </si>
  <si>
    <t>PRPLN ENG T/C</t>
  </si>
  <si>
    <t>Propulsion engine test cell</t>
  </si>
  <si>
    <t>TST TRACK</t>
  </si>
  <si>
    <t>TR</t>
  </si>
  <si>
    <t>RSCH COM STN COMPX</t>
  </si>
  <si>
    <t>STOR, DELM WTR</t>
  </si>
  <si>
    <t>BL = 42 gallons</t>
  </si>
  <si>
    <t>Small Bulk Storage</t>
  </si>
  <si>
    <t>STOR, WTR/ALCOHL</t>
  </si>
  <si>
    <t>STOR AG, SP LIQ</t>
  </si>
  <si>
    <t>Bulk Liquid Fuel Storage</t>
  </si>
  <si>
    <t>BL</t>
  </si>
  <si>
    <t>41150, 41151</t>
  </si>
  <si>
    <t>STOR AG, AVGAS</t>
  </si>
  <si>
    <t>AFPET/PTOT</t>
  </si>
  <si>
    <t>AF/A4LE, AFCEC/COS</t>
  </si>
  <si>
    <t>41120, 41121</t>
  </si>
  <si>
    <t>STOR, AVLUBE</t>
  </si>
  <si>
    <t>Bulk Liquid Storage, Other Than Fuel</t>
  </si>
  <si>
    <t>STOR AG, DIESEL</t>
  </si>
  <si>
    <t>41130, 41131</t>
  </si>
  <si>
    <t>STOR AG, JET FL</t>
  </si>
  <si>
    <t>41121, 41123</t>
  </si>
  <si>
    <t>STOR AG, MOGAS</t>
  </si>
  <si>
    <t>41140, 41141</t>
  </si>
  <si>
    <t>STOR AG, SOLVENTS</t>
  </si>
  <si>
    <t>STOR AG, SP FL</t>
  </si>
  <si>
    <t>STOR LG BK AG, LF</t>
  </si>
  <si>
    <t>Large Bulk Liquid Fuel Storage</t>
  </si>
  <si>
    <t>Cut-and-Cover Bulk Liquid Fuel Storage</t>
  </si>
  <si>
    <t>41112, 41122, 41132, 41142, 41152</t>
  </si>
  <si>
    <t>STOR UG, SP LIQ</t>
  </si>
  <si>
    <t>STOR UG, AVGAS</t>
  </si>
  <si>
    <t>STOR UG, AVLUBE</t>
  </si>
  <si>
    <t>STOR UG, DIESEL</t>
  </si>
  <si>
    <t>STOR UG, JET FL</t>
  </si>
  <si>
    <t>STOR UG, MOGAS</t>
  </si>
  <si>
    <t>STOR UG, SOLVENTS</t>
  </si>
  <si>
    <t>STOR UG, SP FL</t>
  </si>
  <si>
    <t>STOR LG BK UG, LF</t>
  </si>
  <si>
    <t>STOR, BALL</t>
  </si>
  <si>
    <t>Ammunition Storage, Depot and Arsenal</t>
  </si>
  <si>
    <t>MAG, PYRO</t>
  </si>
  <si>
    <t>STOR, SUB MIS</t>
  </si>
  <si>
    <t>STOR, MU-CUB MAG</t>
  </si>
  <si>
    <t>Ammunition Storage, Installation</t>
  </si>
  <si>
    <t>42210, 42215, 42225, 4231, 42240, 42250, 42260</t>
  </si>
  <si>
    <t>STOR, RKT CHK ASMB</t>
  </si>
  <si>
    <t>STOR, SEG MAG</t>
  </si>
  <si>
    <t>42230, 42231, 42235, 42281, 42283, 42285</t>
  </si>
  <si>
    <t>STOR, MAG AG AB&amp;C</t>
  </si>
  <si>
    <t>42210, 42215, 42230, 42231, 42240</t>
  </si>
  <si>
    <t>MSL STG FAC</t>
  </si>
  <si>
    <t>STOR, IGLOO</t>
  </si>
  <si>
    <t>STOR SPARE INERT</t>
  </si>
  <si>
    <t>STOR MODULE BARCAD</t>
  </si>
  <si>
    <t>STOR, IGLOO SAU</t>
  </si>
  <si>
    <t>OPEN AMMO STORAGE</t>
  </si>
  <si>
    <t>COLD STOR BSE</t>
  </si>
  <si>
    <t>AFSVA/SVO</t>
  </si>
  <si>
    <t>Cold Storage, Installation</t>
  </si>
  <si>
    <t>WHSE, GP</t>
  </si>
  <si>
    <t>HAZARD STOR, DEP</t>
  </si>
  <si>
    <t>Hazardous Materials Storage, Depot</t>
  </si>
  <si>
    <t>SHED SUP EQUIP DEP</t>
  </si>
  <si>
    <t>Covered Storage Shed, Depot</t>
  </si>
  <si>
    <t>WHSE SUP EQUIP DEP</t>
  </si>
  <si>
    <t>HAZARD STOR, BSE</t>
  </si>
  <si>
    <t>44160, 44228, 44240</t>
  </si>
  <si>
    <t>STOR LIQ OXYGEN</t>
  </si>
  <si>
    <t>CONTR HUM WH IN</t>
  </si>
  <si>
    <t>Controlled Humidity Storage, Installation</t>
  </si>
  <si>
    <t>MED STOR (WRM)</t>
  </si>
  <si>
    <t>AFMSA/SG8F</t>
  </si>
  <si>
    <t>Medical Warehouse</t>
  </si>
  <si>
    <t>51077, 53060</t>
  </si>
  <si>
    <t>Storage Silo, Loose Material</t>
  </si>
  <si>
    <t>SHED SUP&amp;EQUIP BSE</t>
  </si>
  <si>
    <t>WHSE SUP&amp;EQUIP BSE</t>
  </si>
  <si>
    <t>Storage and Customer Issue</t>
  </si>
  <si>
    <t>WHSE, TROOP SUBSIS</t>
  </si>
  <si>
    <t>WHSE,FORM&amp;PUB,BSE</t>
  </si>
  <si>
    <t>AFDPO</t>
  </si>
  <si>
    <t>HSG SUP-STOR FCLTY</t>
  </si>
  <si>
    <t>AFSVA/SVO/ SVX, AF/A1I</t>
  </si>
  <si>
    <t>AF/A4CA</t>
  </si>
  <si>
    <t>STOR, OPEN</t>
  </si>
  <si>
    <t>Open Storage, Installation</t>
  </si>
  <si>
    <t>OPEN STOR DEP</t>
  </si>
  <si>
    <t>Open Storage, Depot</t>
  </si>
  <si>
    <t>OPEN STOR,BSE SUP</t>
  </si>
  <si>
    <t>CE STOR OPEN</t>
  </si>
  <si>
    <t>OPN STOR F/T MGT</t>
  </si>
  <si>
    <t>OPEN STOR R-D</t>
  </si>
  <si>
    <t>COMPOSITE MED</t>
  </si>
  <si>
    <t>Hospital</t>
  </si>
  <si>
    <t>BD</t>
  </si>
  <si>
    <t>51010, 51011</t>
  </si>
  <si>
    <t>MED COMD + ADMIN</t>
  </si>
  <si>
    <t>MED/DENT ED * TNG</t>
  </si>
  <si>
    <t>Medical Laboratory</t>
  </si>
  <si>
    <t>Dispensary And Clinic</t>
  </si>
  <si>
    <t>53010, 55010</t>
  </si>
  <si>
    <t>FLT SURG CLINIC</t>
  </si>
  <si>
    <t>ENVIRO HEALTH</t>
  </si>
  <si>
    <t>Dining Support Facility</t>
  </si>
  <si>
    <t>AMB SHELTER</t>
  </si>
  <si>
    <t>14310, 53070</t>
  </si>
  <si>
    <t>AEROMED STG FCLTY</t>
  </si>
  <si>
    <t>OBSTETRICAL SVC</t>
  </si>
  <si>
    <t>AF CLINIC</t>
  </si>
  <si>
    <t>HOSP CEN STERILIZN</t>
  </si>
  <si>
    <t>BLOOD PROCESS LAB</t>
  </si>
  <si>
    <t>DRUG ABUSE DET LAB</t>
  </si>
  <si>
    <t>AF ENV HEALTH LAB</t>
  </si>
  <si>
    <t>Biosafety Level 3 Laboratory</t>
  </si>
  <si>
    <t>BIOSAF LAB LEV 4</t>
  </si>
  <si>
    <t>Biosafety Level 4 Laboratory</t>
  </si>
  <si>
    <t>CLIN LAB EPDML</t>
  </si>
  <si>
    <t>MATERIALS SERVICES (MED LOG)</t>
  </si>
  <si>
    <t>MEDICAL FOOD INSP</t>
  </si>
  <si>
    <t>Veterinary Facility</t>
  </si>
  <si>
    <t>53040, 53045</t>
  </si>
  <si>
    <t>AREA DEN LAB</t>
  </si>
  <si>
    <t>DEN CLINIC</t>
  </si>
  <si>
    <t>Dental Facility</t>
  </si>
  <si>
    <t>OUTPAT AMBUL CAR CLIN</t>
  </si>
  <si>
    <t>OCC MEDICINE SVC</t>
  </si>
  <si>
    <t>MED AID STATION</t>
  </si>
  <si>
    <t>ADMIN, MISC</t>
  </si>
  <si>
    <t>AREA DEF CNSL OFC</t>
  </si>
  <si>
    <t>AF/JA</t>
  </si>
  <si>
    <t>FAM HSG MGT OFC</t>
  </si>
  <si>
    <t>VEH OPS ADMIN</t>
  </si>
  <si>
    <t>BSE SUP ADMIN</t>
  </si>
  <si>
    <t>AF PLT ADMIN OFC</t>
  </si>
  <si>
    <t>CO HQ BLDG</t>
  </si>
  <si>
    <t>Small Unit Headquarters Building</t>
  </si>
  <si>
    <t>CO HQ BLDG TT</t>
  </si>
  <si>
    <t>BASE ENGR ADMIN</t>
  </si>
  <si>
    <t>BASE PERSONNEL OFC</t>
  </si>
  <si>
    <t>AF/A1</t>
  </si>
  <si>
    <t>WPN SYS/M MGT FCLT</t>
  </si>
  <si>
    <t>TRAFFIC MGT FCLTY</t>
  </si>
  <si>
    <t>MUN MAINT ADMIN</t>
  </si>
  <si>
    <t>ODERLY RM IN DORM</t>
  </si>
  <si>
    <t>HQ GROUP</t>
  </si>
  <si>
    <t>Large Unit Headquarters Building</t>
  </si>
  <si>
    <t>14182, 14183, 14184</t>
  </si>
  <si>
    <t>61071, 61072</t>
  </si>
  <si>
    <t>HQ WG</t>
  </si>
  <si>
    <t>HQ CENTER</t>
  </si>
  <si>
    <t>HQ NUMBERED AF</t>
  </si>
  <si>
    <t>HQ,NAMED/NO DIV</t>
  </si>
  <si>
    <t>HQ,SPECIFIED</t>
  </si>
  <si>
    <t>DOC STG FCLTY</t>
  </si>
  <si>
    <t>FARM FCLTY</t>
  </si>
  <si>
    <t>AF/A7CAI</t>
  </si>
  <si>
    <t>Working Animal Support Building</t>
  </si>
  <si>
    <t>LOG FCLTY DEP OPS</t>
  </si>
  <si>
    <t>AFMC</t>
  </si>
  <si>
    <t>DPI</t>
  </si>
  <si>
    <t>Automated Data Processing Center</t>
  </si>
  <si>
    <t>PLT, PRINTING</t>
  </si>
  <si>
    <t>SAF/CIO A6P</t>
  </si>
  <si>
    <t>Printing And Reproduction Plant</t>
  </si>
  <si>
    <t>PLT, REPRODUCTION</t>
  </si>
  <si>
    <t>ADMIN OFC,NON-AF</t>
  </si>
  <si>
    <t>Can also be used for State, ANG, and ARNG space.</t>
  </si>
  <si>
    <t>61050, 61055</t>
  </si>
  <si>
    <t>SOCIAL ACT FCLTY</t>
  </si>
  <si>
    <t>AF/A1S</t>
  </si>
  <si>
    <t>AFOSI OFFICE</t>
  </si>
  <si>
    <t>SAF/IG</t>
  </si>
  <si>
    <t>AFOSI</t>
  </si>
  <si>
    <t>ADMIN STRUCT, UNDERGROUND</t>
  </si>
  <si>
    <t>Administrative Building, Underground</t>
  </si>
  <si>
    <t>62010, 62077</t>
  </si>
  <si>
    <t>Administrative Structure, Other Than Buildings</t>
  </si>
  <si>
    <t>FLAG POLE, BSE</t>
  </si>
  <si>
    <t>The largest flag pole on the installation should be located at the Wing/Center Headquarters.</t>
  </si>
  <si>
    <t>SHLTR, TROOP</t>
  </si>
  <si>
    <t>STD, REVIEW CV</t>
  </si>
  <si>
    <t>STD, REVIEW OPEN</t>
  </si>
  <si>
    <t>KENNEL STRAY ANML</t>
  </si>
  <si>
    <t>FAM HSG, CAPEHART</t>
  </si>
  <si>
    <t>Family Housing Dwelling</t>
  </si>
  <si>
    <t>FA</t>
  </si>
  <si>
    <t>71111, 71112, 71113, 71114, 71115, 71116, 71117</t>
  </si>
  <si>
    <t>71125, 71126, 71127, 71128, 71129</t>
  </si>
  <si>
    <t>FAM HSG, WHERRY</t>
  </si>
  <si>
    <t>71120, 71121, 71122, 71123, 71124</t>
  </si>
  <si>
    <t>FAM HSG, LANHAM</t>
  </si>
  <si>
    <t>71160, 71161</t>
  </si>
  <si>
    <t>FAM HSG APPR FY70A</t>
  </si>
  <si>
    <t>71170, 71171, 71172, 71173, 71174</t>
  </si>
  <si>
    <t>FAM HSG APPR 50-69</t>
  </si>
  <si>
    <t>71130, 71131, 71132, 71133, 71134</t>
  </si>
  <si>
    <t>FAM HSG APPR PFY50</t>
  </si>
  <si>
    <t>71140, 71141, 71142, 71143, 71144</t>
  </si>
  <si>
    <t>FAM HSG, SUR COMOD</t>
  </si>
  <si>
    <t>71150, 71151, 71152, 71153, 71154</t>
  </si>
  <si>
    <t>FAM HSG, DEUTCHMRK</t>
  </si>
  <si>
    <t>71155, 71156, 71157, 71158, 71159</t>
  </si>
  <si>
    <t>FAM HSG, YEN</t>
  </si>
  <si>
    <t>FAM HSG, OTHER</t>
  </si>
  <si>
    <t>FAM HSG RELO</t>
  </si>
  <si>
    <t>71175, 71176</t>
  </si>
  <si>
    <t>FAM HSG, RENT GUAR</t>
  </si>
  <si>
    <t>FAM HSG, LEASED</t>
  </si>
  <si>
    <t>71135, 71136, 71137, 71138, 71139</t>
  </si>
  <si>
    <t>FAM HSG USA</t>
  </si>
  <si>
    <t>FAM HSG ATCH GARGE</t>
  </si>
  <si>
    <t>Family Housing Garage</t>
  </si>
  <si>
    <t>VE</t>
  </si>
  <si>
    <t>FAM HSG ATCH CARP</t>
  </si>
  <si>
    <t>Family Housing Carport</t>
  </si>
  <si>
    <t>TLR CRT SPT FCLTY</t>
  </si>
  <si>
    <t>Trailer Court Support Facility</t>
  </si>
  <si>
    <t>TLR CRT PARKING</t>
  </si>
  <si>
    <t>FA = Number of Families</t>
  </si>
  <si>
    <t>Family Housing Individual Trailer Site</t>
  </si>
  <si>
    <t>71310, 71311</t>
  </si>
  <si>
    <t>GARGE FAM HSG DET</t>
  </si>
  <si>
    <t>CARP FAM HSG DET</t>
  </si>
  <si>
    <t>STOR FAM HSG DET</t>
  </si>
  <si>
    <t>Family Housing Storage Facility</t>
  </si>
  <si>
    <t>AF HOTEL</t>
  </si>
  <si>
    <t>Transient  Lodging</t>
  </si>
  <si>
    <t>AFSFC/SFO</t>
  </si>
  <si>
    <t>Prison/Confinement Facility</t>
  </si>
  <si>
    <t>72140, 73015</t>
  </si>
  <si>
    <t>FED PRISON FCLTY</t>
  </si>
  <si>
    <t>TRANS UPH AIT</t>
  </si>
  <si>
    <t>Enlisted Unaccompanied Personnel Housing, Transient</t>
  </si>
  <si>
    <t>72121, 72127, 72153</t>
  </si>
  <si>
    <t>DH, AMN IN DORM</t>
  </si>
  <si>
    <t>AFSVA, AF/A4CA</t>
  </si>
  <si>
    <t>Dining Facility</t>
  </si>
  <si>
    <t>72210, 72212</t>
  </si>
  <si>
    <t>72145, 72210</t>
  </si>
  <si>
    <t>DORM, RECRUITS</t>
  </si>
  <si>
    <t>2AF/TTOC</t>
  </si>
  <si>
    <t>Recruit/Trainee Barracks</t>
  </si>
  <si>
    <t>DORM AM PP/PCS-STD</t>
  </si>
  <si>
    <t>MAJCOM/A4C7</t>
  </si>
  <si>
    <t>Enlisted Unaccompanied Personnel Housing</t>
  </si>
  <si>
    <t>TECH TNG STD HSG</t>
  </si>
  <si>
    <t>MAJCOM/A4C</t>
  </si>
  <si>
    <t>72111, 72170</t>
  </si>
  <si>
    <t>72111, 72112</t>
  </si>
  <si>
    <t>DORMITORY, UNACCOMPANIED NCO</t>
  </si>
  <si>
    <t>72112, 72113</t>
  </si>
  <si>
    <t>DORM, VAQ</t>
  </si>
  <si>
    <t>AFSVA, MAJCOM/A1S</t>
  </si>
  <si>
    <t>DORM UNACCOMP - WONDED WARR</t>
  </si>
  <si>
    <t>AFCEC/CIM</t>
  </si>
  <si>
    <t>Unaccompanied Housing for Wounded Warriors</t>
  </si>
  <si>
    <t>Student Barracks</t>
  </si>
  <si>
    <t>TRANS UPH AST</t>
  </si>
  <si>
    <t>UP QUARTERS</t>
  </si>
  <si>
    <t>Annual Training/Mobilization Barracks</t>
  </si>
  <si>
    <t>SP</t>
  </si>
  <si>
    <t>72114, 72115</t>
  </si>
  <si>
    <t>72141, 72415</t>
  </si>
  <si>
    <t>FAST FOOD SVC</t>
  </si>
  <si>
    <t>DH, AMN (DET)</t>
  </si>
  <si>
    <t>DH, OFF (DET)</t>
  </si>
  <si>
    <t>KITCHEN, CEN PREP</t>
  </si>
  <si>
    <t>KITCHEN, IN-FLT</t>
  </si>
  <si>
    <t>SAN LATRINE</t>
  </si>
  <si>
    <t>Latrine/Shower Facility</t>
  </si>
  <si>
    <t>Unaccompanied Personnel Housing Carport</t>
  </si>
  <si>
    <t>TROOP HSG, OTH</t>
  </si>
  <si>
    <t>Miscellaneous UPH Support Facility</t>
  </si>
  <si>
    <t>OQ</t>
  </si>
  <si>
    <t>MAJCOM/A1/ A4C</t>
  </si>
  <si>
    <t>Officer Unaccompanied Personnel Housing</t>
  </si>
  <si>
    <t>72411, 72412</t>
  </si>
  <si>
    <t>VOQ (01-010)</t>
  </si>
  <si>
    <t>Officer UPH, Transient</t>
  </si>
  <si>
    <t>CADET QTRS</t>
  </si>
  <si>
    <t>AETC/A1/A4C</t>
  </si>
  <si>
    <t>Service Academy Unaccompanied Personnel Housing</t>
  </si>
  <si>
    <t>EUPH Tent Pad</t>
  </si>
  <si>
    <t>CAMP, CIVILIAN</t>
  </si>
  <si>
    <t>Emergency Unaccompanied Personnel Housing</t>
  </si>
  <si>
    <t>CAMP, TROOP</t>
  </si>
  <si>
    <t>FR STN</t>
  </si>
  <si>
    <t>Fire Station Facility</t>
  </si>
  <si>
    <t>FR TWR COMM CEN</t>
  </si>
  <si>
    <t>FR HOSE HSE</t>
  </si>
  <si>
    <t>FORESTRY GUARD STN</t>
  </si>
  <si>
    <t>AF/A4C</t>
  </si>
  <si>
    <t>Forestry Guard Station</t>
  </si>
  <si>
    <t>BAKERY, BREAD</t>
  </si>
  <si>
    <t>AFSVA</t>
  </si>
  <si>
    <t>Bread/Pastry Kitchen</t>
  </si>
  <si>
    <t>KITCHEN, PASTRY</t>
  </si>
  <si>
    <t>BUS, SHLTR</t>
  </si>
  <si>
    <t>Personnel/ Equipment Shelter</t>
  </si>
  <si>
    <t>BUS, STN</t>
  </si>
  <si>
    <t>Bus Station</t>
  </si>
  <si>
    <t>EDUCATION CEN</t>
  </si>
  <si>
    <t>AF/A1PT</t>
  </si>
  <si>
    <t>MAJCOM/A1</t>
  </si>
  <si>
    <t>Education Center</t>
  </si>
  <si>
    <t>POST OFFICE CEN</t>
  </si>
  <si>
    <t>SAF/CIO A6</t>
  </si>
  <si>
    <t>Postal Facility</t>
  </si>
  <si>
    <t>73072, 73073</t>
  </si>
  <si>
    <t>LDRY-DRY CLN BSE</t>
  </si>
  <si>
    <t>Laundry/Dry Cleaning Facility</t>
  </si>
  <si>
    <t>DRY CLN, BSE</t>
  </si>
  <si>
    <t>LDRY, BSE</t>
  </si>
  <si>
    <t>LDRY, DEP</t>
  </si>
  <si>
    <t>AAFES</t>
  </si>
  <si>
    <t>Clothing Sales Store</t>
  </si>
  <si>
    <t>CHAPEL BASE</t>
  </si>
  <si>
    <t>AF/HC</t>
  </si>
  <si>
    <t>Chapel Facility</t>
  </si>
  <si>
    <t>SE</t>
  </si>
  <si>
    <t>REF</t>
  </si>
  <si>
    <t>Religious Education Facility</t>
  </si>
  <si>
    <t>CHAPEL CEN</t>
  </si>
  <si>
    <t>CHAPEL, INTERIOR</t>
  </si>
  <si>
    <t>SCH DEPN D H</t>
  </si>
  <si>
    <t>DODEA</t>
  </si>
  <si>
    <t>AF/A1S/A1PT</t>
  </si>
  <si>
    <t>Dependent School Support Facility</t>
  </si>
  <si>
    <t>SCH DEPN DORM</t>
  </si>
  <si>
    <t>AF/A4CA, AF/A1S/A1PT</t>
  </si>
  <si>
    <t>SCH DEPN DET SPT</t>
  </si>
  <si>
    <t>SCH DEPN K-12</t>
  </si>
  <si>
    <t>Dependent School</t>
  </si>
  <si>
    <t>SCH DEPN NURSERY</t>
  </si>
  <si>
    <t>Nursery and Child Care Facility</t>
  </si>
  <si>
    <t>CORRECTION FCLTY</t>
  </si>
  <si>
    <t>SP CON IDENT</t>
  </si>
  <si>
    <t>Police Station</t>
  </si>
  <si>
    <t>SP DES FLIGHT POSN</t>
  </si>
  <si>
    <t>Security Support Building</t>
  </si>
  <si>
    <t>SP OPERATIONS</t>
  </si>
  <si>
    <t>Could contain an armory and warehouse storage areas.</t>
  </si>
  <si>
    <t>RES FR TEAM FCLTY</t>
  </si>
  <si>
    <t>SP ENTRY CON BLDG</t>
  </si>
  <si>
    <t>MASTER SRVLL &amp; CON</t>
  </si>
  <si>
    <t>Morgue</t>
  </si>
  <si>
    <t>DRUG/ALC ABUSE</t>
  </si>
  <si>
    <t>Drug and Alcohol Abuse Center</t>
  </si>
  <si>
    <t>INCLEMENT WX SHLTR, BELOW GND</t>
  </si>
  <si>
    <t>MISC PERSONNEL SHELTER</t>
  </si>
  <si>
    <t>(AAFES CODE = 1Y)</t>
  </si>
  <si>
    <t>SEP TOIL/SHOWER</t>
  </si>
  <si>
    <t>Public Restroom/Shower</t>
  </si>
  <si>
    <t>73075, 74089</t>
  </si>
  <si>
    <t>Exchange Sales Facility</t>
  </si>
  <si>
    <t>74001, 74002</t>
  </si>
  <si>
    <t>SAF/FMPB</t>
  </si>
  <si>
    <t>Bank and Credit Union</t>
  </si>
  <si>
    <t>FAM SPT CEN</t>
  </si>
  <si>
    <t>AFSVA, MAJCOM/A1</t>
  </si>
  <si>
    <t>Thrift Shop</t>
  </si>
  <si>
    <t>DeCA</t>
  </si>
  <si>
    <t>Commissary</t>
  </si>
  <si>
    <t>STORE, CADET</t>
  </si>
  <si>
    <t>BSE PACKAGE STOR</t>
  </si>
  <si>
    <t>CLUB, ROD &amp; GUN</t>
  </si>
  <si>
    <t>Club and Organization Building</t>
  </si>
  <si>
    <t>Recreation Center</t>
  </si>
  <si>
    <t>CLUB, AERO</t>
  </si>
  <si>
    <t>EXCH CAR WSH</t>
  </si>
  <si>
    <t>Car Wash Facility</t>
  </si>
  <si>
    <t>MWR O/D REC CTR</t>
  </si>
  <si>
    <t>MWR Sales and Rental Building</t>
  </si>
  <si>
    <t>EXCH, AMUSE CEN</t>
  </si>
  <si>
    <t>EXCH, CAFÉ SNK BAR</t>
  </si>
  <si>
    <t>Exchange Eating Facility</t>
  </si>
  <si>
    <t>74051, 74062</t>
  </si>
  <si>
    <t>EXCH, BRANCH</t>
  </si>
  <si>
    <t>EXCH, SVC STN</t>
  </si>
  <si>
    <t>Exchange Automobile Facility</t>
  </si>
  <si>
    <t>EXCH LDRY&amp;CLN PLT</t>
  </si>
  <si>
    <t>EXCH, MAINT SHP</t>
  </si>
  <si>
    <t>Exchange Support Facility</t>
  </si>
  <si>
    <t>EXCH, ADMIN</t>
  </si>
  <si>
    <t>EXCH, RETAIL WHSE</t>
  </si>
  <si>
    <t>Exchange Warehouse</t>
  </si>
  <si>
    <t>EXCH, SALES STORE</t>
  </si>
  <si>
    <t>EXCH, SVC OUTLET</t>
  </si>
  <si>
    <t>CENTRAL EXCH ADMIN</t>
  </si>
  <si>
    <t>CENTRAL EXCH WHSE</t>
  </si>
  <si>
    <t>CEN EXCH SPT FCLTY</t>
  </si>
  <si>
    <t>TLF (APPR)</t>
  </si>
  <si>
    <t>72151, 72152, 74022</t>
  </si>
  <si>
    <t>TLF (NAF)</t>
  </si>
  <si>
    <t>TRN LODGE SPT BLDG</t>
  </si>
  <si>
    <t>Transient And Recreational Lodging Support Facility</t>
  </si>
  <si>
    <t>OPEN MESS, AMN</t>
  </si>
  <si>
    <t>Open Mess and Club Facility</t>
  </si>
  <si>
    <t>OPEN MESS, CONSOL</t>
  </si>
  <si>
    <t>OPEN MESS, NCO</t>
  </si>
  <si>
    <t>OPEN MESS, OFF</t>
  </si>
  <si>
    <t>ANTENNA, MSTR TV</t>
  </si>
  <si>
    <t>ARTS&amp;CRAFTS CENTER</t>
  </si>
  <si>
    <t>Hobby And Craft Center</t>
  </si>
  <si>
    <t>H/SHP, AUTOMOTIVE</t>
  </si>
  <si>
    <t>Automobile Craft Center</t>
  </si>
  <si>
    <t>RECTN SITE LODGING</t>
  </si>
  <si>
    <t>Recreational Lodging</t>
  </si>
  <si>
    <t>BOWL CEN</t>
  </si>
  <si>
    <t>Bowling Center</t>
  </si>
  <si>
    <t>LA</t>
  </si>
  <si>
    <t>MWR SUP/NAF C-STOR</t>
  </si>
  <si>
    <t>MWR Storage Building</t>
  </si>
  <si>
    <t>Indoor Physical Fitness Facility</t>
  </si>
  <si>
    <t>74028, 74069</t>
  </si>
  <si>
    <t>74044, 74045, 74049</t>
  </si>
  <si>
    <t>RECTN, LIB</t>
  </si>
  <si>
    <t>Library, General Use</t>
  </si>
  <si>
    <t>SWIM POOL, INDOR</t>
  </si>
  <si>
    <t>AFSVA, MAJCOM/A1S AFCEC/COS</t>
  </si>
  <si>
    <t>Indoor Swimming Pool</t>
  </si>
  <si>
    <t>SKATE RINK</t>
  </si>
  <si>
    <t>Indoor Skating Rink</t>
  </si>
  <si>
    <t>74070, 74082</t>
  </si>
  <si>
    <t>CADET SOCIAL CEN</t>
  </si>
  <si>
    <t>AF/A1D</t>
  </si>
  <si>
    <t>AF/A1S, AFSVA, MAJCOM/A1S</t>
  </si>
  <si>
    <t>RES FUND MWR FCLTY</t>
  </si>
  <si>
    <t>CIV FUND MWR BLDG</t>
  </si>
  <si>
    <t>Non-Exchange Eating Facility</t>
  </si>
  <si>
    <t>74013, 74060, 74064</t>
  </si>
  <si>
    <t>Auditorium and Theater Facility</t>
  </si>
  <si>
    <t>May contain a catering kitchen, office space, and a Video Teleconferencing Center (VTC)</t>
  </si>
  <si>
    <t>Community Activities/ Conference Center</t>
  </si>
  <si>
    <t>YOUTH CEN</t>
  </si>
  <si>
    <t>CHILD CARE CEN</t>
  </si>
  <si>
    <t>AF/A1S, AFMSA/SGSF</t>
  </si>
  <si>
    <t>Retail Kennel</t>
  </si>
  <si>
    <t>ATHLT FLD BASEBALL</t>
  </si>
  <si>
    <t>Athletic Field</t>
  </si>
  <si>
    <t>ATHLT FLD FB/SOC</t>
  </si>
  <si>
    <t>ATHLT FLD TRACK</t>
  </si>
  <si>
    <t>Running Track</t>
  </si>
  <si>
    <t>ATHLT FLD SOFTBALL</t>
  </si>
  <si>
    <t>ATHLT FLD STD</t>
  </si>
  <si>
    <t>17992, 75022</t>
  </si>
  <si>
    <t>Stadium</t>
  </si>
  <si>
    <t>CRT, TENNIS</t>
  </si>
  <si>
    <t>Outdoor Playing Court</t>
  </si>
  <si>
    <t>CRT, RECTN</t>
  </si>
  <si>
    <t>O/D RECTN PAVILION</t>
  </si>
  <si>
    <t>Pavilion</t>
  </si>
  <si>
    <t>GOLF CLUBHSE/EQUIP</t>
  </si>
  <si>
    <t>Golf Club House and Sales</t>
  </si>
  <si>
    <t>GOLF MAINT/EQUIP</t>
  </si>
  <si>
    <t>GOLF CRS 9 HOLE</t>
  </si>
  <si>
    <t>Golf Course</t>
  </si>
  <si>
    <t>GOLF CRS 18 HOLE</t>
  </si>
  <si>
    <t>Golf Driving Range</t>
  </si>
  <si>
    <t>PITCH AND PUTT GOLF COURSE</t>
  </si>
  <si>
    <t>Golf Pitch and Putt Course</t>
  </si>
  <si>
    <t>75043, 75044</t>
  </si>
  <si>
    <t>REC AREA</t>
  </si>
  <si>
    <t>Outdoor Recreation Area</t>
  </si>
  <si>
    <t>Miscellaneous Outdoor Recreation Facility</t>
  </si>
  <si>
    <t>75017, 75024, 75025, 75028, 75029, 75033, 75036, 75045, 75062, 75065, 75088, 75089</t>
  </si>
  <si>
    <t>75021, 75022, 75023, 75037, 75052</t>
  </si>
  <si>
    <t>CIV O/RCTN FCLTY</t>
  </si>
  <si>
    <t>Stable</t>
  </si>
  <si>
    <t>MAR/BT RMP</t>
  </si>
  <si>
    <t>Marina</t>
  </si>
  <si>
    <t>FAM CAMPS</t>
  </si>
  <si>
    <t>Recreational Camp and Trailer Park</t>
  </si>
  <si>
    <t>75058, 75059</t>
  </si>
  <si>
    <t>FAM CAMP SPT FAC</t>
  </si>
  <si>
    <t>POV WASHRACK</t>
  </si>
  <si>
    <t>Car Wash Structure</t>
  </si>
  <si>
    <t>SWIMMERS BATH HSE</t>
  </si>
  <si>
    <t>Outdoor Swimming Pool</t>
  </si>
  <si>
    <t>75030, 75031</t>
  </si>
  <si>
    <t>75030, 75034</t>
  </si>
  <si>
    <t>SWIM POOL WTR TRMT</t>
  </si>
  <si>
    <t>Recreational Support Building</t>
  </si>
  <si>
    <t>THEATER OUTDOOR</t>
  </si>
  <si>
    <t>Outdoor Theater</t>
  </si>
  <si>
    <t>PLAYGROUND GP</t>
  </si>
  <si>
    <t>Playground</t>
  </si>
  <si>
    <t>REC PIER/PLAT</t>
  </si>
  <si>
    <t>Recreational Pier</t>
  </si>
  <si>
    <t>MUSEUM BLDG</t>
  </si>
  <si>
    <t>USAFM/MU</t>
  </si>
  <si>
    <t>HERITAGE CTR</t>
  </si>
  <si>
    <t>Cemetery</t>
  </si>
  <si>
    <t>Columbarium</t>
  </si>
  <si>
    <t>76035, 76036</t>
  </si>
  <si>
    <t>76030, 76031, 76032</t>
  </si>
  <si>
    <t>MONUMENTS/MEMORL</t>
  </si>
  <si>
    <t>Monument and Memorial</t>
  </si>
  <si>
    <t>ELECT PWR-PHOTV</t>
  </si>
  <si>
    <t>Electrical Power Source, PhotoVoltaic</t>
  </si>
  <si>
    <t>KW</t>
  </si>
  <si>
    <t>TOTAL ENG PLT BLDG</t>
  </si>
  <si>
    <t>Utility Building</t>
  </si>
  <si>
    <t>ELEC PWR GEN PLT</t>
  </si>
  <si>
    <t>Electrical Power Source, Wind Generated</t>
  </si>
  <si>
    <t>ELEC E/PWR GEN PLT</t>
  </si>
  <si>
    <t>Stand-By/Emergency Power</t>
  </si>
  <si>
    <t>ELEC PWR STN BLDG</t>
  </si>
  <si>
    <t>89113, 89120</t>
  </si>
  <si>
    <t>81159, 81209, 81310</t>
  </si>
  <si>
    <t>PRIM DISTR LNE OH</t>
  </si>
  <si>
    <t>Electrical Power Distribution Line, Overhead</t>
  </si>
  <si>
    <t>SEC DISTR LNE OH</t>
  </si>
  <si>
    <t>PRIM DISTR LNE UG</t>
  </si>
  <si>
    <t>Electrical Power Distribution Line, Underground</t>
  </si>
  <si>
    <t>SEC DISTR LNE UG</t>
  </si>
  <si>
    <t>EXTERIOR AREA LTG</t>
  </si>
  <si>
    <t>Exterior Lighting, Pole</t>
  </si>
  <si>
    <t>81220, 81240</t>
  </si>
  <si>
    <t>Traffic Control Signals</t>
  </si>
  <si>
    <t>ELEC SWITCH STN</t>
  </si>
  <si>
    <t>Electrical Power Switching Station</t>
  </si>
  <si>
    <t>KV</t>
  </si>
  <si>
    <t>ELEC SUBSTATION</t>
  </si>
  <si>
    <t>Electrical Power Substation</t>
  </si>
  <si>
    <t>Electrical Power Transformers</t>
  </si>
  <si>
    <t>LPS, STANDALONE</t>
  </si>
  <si>
    <t>Lightning Protection System, Standalone</t>
  </si>
  <si>
    <t>85235, 85240</t>
  </si>
  <si>
    <t>HTG FL OIL STOR</t>
  </si>
  <si>
    <t>82160, 82161</t>
  </si>
  <si>
    <t>HTG FR CEN PLT</t>
  </si>
  <si>
    <t>HTG PLT 750/3500MB</t>
  </si>
  <si>
    <t>BH</t>
  </si>
  <si>
    <t>82110, 82117, 82118, 82120, 82130, 82140, 82160, 82182, 82187</t>
  </si>
  <si>
    <t>82112, 82122, 82130</t>
  </si>
  <si>
    <t>HTG FCLTY BLDG</t>
  </si>
  <si>
    <t>STEAM PLT IND</t>
  </si>
  <si>
    <t>82140, 82150</t>
  </si>
  <si>
    <t>STEAM FCLTY BLDG</t>
  </si>
  <si>
    <t>HEAT PLT GEO</t>
  </si>
  <si>
    <t>HOT WTR MAINS</t>
  </si>
  <si>
    <t>Heat Distribution Line</t>
  </si>
  <si>
    <t>82220, 82221</t>
  </si>
  <si>
    <t>82216, 82226</t>
  </si>
  <si>
    <t>HOT WTR PMP STN</t>
  </si>
  <si>
    <t>Miscellaneous Pump Station</t>
  </si>
  <si>
    <t>STEAM HT MAINS</t>
  </si>
  <si>
    <t>82210, 82240</t>
  </si>
  <si>
    <t>CONDEN PMP STN</t>
  </si>
  <si>
    <t>HT GAS SOURCE</t>
  </si>
  <si>
    <t>Heat Gas Production Plant</t>
  </si>
  <si>
    <t>GAS COMPRESSOR</t>
  </si>
  <si>
    <t>GAS STOR</t>
  </si>
  <si>
    <t>Heat Gas Storage</t>
  </si>
  <si>
    <t>GAS VAPORIZOR</t>
  </si>
  <si>
    <t>GAS METER FCLTY</t>
  </si>
  <si>
    <t>Heat Gas Distribution Line</t>
  </si>
  <si>
    <t>GAS ODORIZER FCLTY</t>
  </si>
  <si>
    <t>GAS VALVE FCLTY</t>
  </si>
  <si>
    <t>AC/REF PLANT</t>
  </si>
  <si>
    <t>A/C PLT OVER 100TN</t>
  </si>
  <si>
    <t>C/WTR EX/DISTR LNE</t>
  </si>
  <si>
    <t>Chilled Water and Refrigerant Distribution Line</t>
  </si>
  <si>
    <t>IND WST TRMT&amp;DSPL</t>
  </si>
  <si>
    <t>Industrial Waste Treatment</t>
  </si>
  <si>
    <t>KG</t>
  </si>
  <si>
    <t>IND WST FL-SP COLL</t>
  </si>
  <si>
    <t>Water Separation Facility</t>
  </si>
  <si>
    <t>83180, 83181</t>
  </si>
  <si>
    <t>83116, 87111</t>
  </si>
  <si>
    <t>SEWAGE TRMT &amp; DSPL</t>
  </si>
  <si>
    <t>Sewage Treatment</t>
  </si>
  <si>
    <t>83110, 83112, 83113</t>
  </si>
  <si>
    <t>WST TRMT BLDG</t>
  </si>
  <si>
    <t>89131, 89141</t>
  </si>
  <si>
    <t>83114, 83139, 83143, 83340</t>
  </si>
  <si>
    <t>Septic Tank and Drain Field</t>
  </si>
  <si>
    <t>RADACT WST BU/SITE</t>
  </si>
  <si>
    <t>Hazardous Waste Storage Or Disposal Facility</t>
  </si>
  <si>
    <t>DSPL RADACT WST</t>
  </si>
  <si>
    <t>DML &amp; BURN FCLTY</t>
  </si>
  <si>
    <t>83141, 83142</t>
  </si>
  <si>
    <t>HAZ WASTE XFER</t>
  </si>
  <si>
    <t>SEPT LAGOON - POND</t>
  </si>
  <si>
    <t>Septic Lagoon and Settlement Ponds</t>
  </si>
  <si>
    <t>IND WST MAIN</t>
  </si>
  <si>
    <t>Sewer and Industrial Waste Line</t>
  </si>
  <si>
    <t>SAN SEWAGE MAIN</t>
  </si>
  <si>
    <t>83210, 83220, 87171</t>
  </si>
  <si>
    <t>SAN SEWAGE PMP STN</t>
  </si>
  <si>
    <t>Sewage Lift Stations</t>
  </si>
  <si>
    <t>83230, 83231, 83241</t>
  </si>
  <si>
    <t>INCINERATOR</t>
  </si>
  <si>
    <t>Incinerator</t>
  </si>
  <si>
    <t>TH</t>
  </si>
  <si>
    <t>83309, 83310</t>
  </si>
  <si>
    <t>S/WASTE DISPL FCLT</t>
  </si>
  <si>
    <t>83320, 83321</t>
  </si>
  <si>
    <t>S/WASTE REPOSITORY</t>
  </si>
  <si>
    <t>GRBG CNT WASH RACK</t>
  </si>
  <si>
    <t>S/WASTE DSPL LNDFI</t>
  </si>
  <si>
    <t>Sanitary Landfill</t>
  </si>
  <si>
    <t>H/WASTE DSPL LNDFI</t>
  </si>
  <si>
    <t>Hazardous Waste Landfill</t>
  </si>
  <si>
    <t>WTR SUP MAINS</t>
  </si>
  <si>
    <t>Water Distribution Line, Potable</t>
  </si>
  <si>
    <t>WTR COML SUP</t>
  </si>
  <si>
    <t>Water Well, Water Source</t>
  </si>
  <si>
    <t>WTR SURFACE SUP</t>
  </si>
  <si>
    <t>WTR SUP TRMT</t>
  </si>
  <si>
    <t>Water Treatment Facility</t>
  </si>
  <si>
    <t>84110, 84115</t>
  </si>
  <si>
    <t>WTR WELL</t>
  </si>
  <si>
    <t>BLDG WTR SUP</t>
  </si>
  <si>
    <t>89144, 89148</t>
  </si>
  <si>
    <t>84109, 84350</t>
  </si>
  <si>
    <t>WTR STOR DAM</t>
  </si>
  <si>
    <t>Grounds Drainage Dams</t>
  </si>
  <si>
    <t>WTR STOR RESERVOIR</t>
  </si>
  <si>
    <t>Reservoir,  Water</t>
  </si>
  <si>
    <t>84620, 84720</t>
  </si>
  <si>
    <t>84151, 84450</t>
  </si>
  <si>
    <t>STORM WTR POND</t>
  </si>
  <si>
    <t>Storm Water Ponds</t>
  </si>
  <si>
    <t>WTR TANK STOR</t>
  </si>
  <si>
    <t>Water Storage, Potable</t>
  </si>
  <si>
    <t>84130, 84140</t>
  </si>
  <si>
    <t>WTR DISTR MAINS</t>
  </si>
  <si>
    <t>WTR PMP STN</t>
  </si>
  <si>
    <t>Water Pump Facility, Potable</t>
  </si>
  <si>
    <t>FIRE PROT WATER</t>
  </si>
  <si>
    <t>RESERVOIR FIRE PROT WATER</t>
  </si>
  <si>
    <t>Water Impoundment, Fire Protection</t>
  </si>
  <si>
    <t>FR PROTEC WTR MAIN</t>
  </si>
  <si>
    <t>Water Distribution Line, Fire Protection</t>
  </si>
  <si>
    <t>WTR FR PMP STN</t>
  </si>
  <si>
    <t>Water Pump Facility, Fire Protection</t>
  </si>
  <si>
    <t>FR PROTEC WTR STOR</t>
  </si>
  <si>
    <t>Water Tank, Fire Protection</t>
  </si>
  <si>
    <t>WTR SUP STOR N/POT</t>
  </si>
  <si>
    <t>Water Storage, Non-Potable</t>
  </si>
  <si>
    <t>84152, 84440</t>
  </si>
  <si>
    <t>WTR SUP N/POT</t>
  </si>
  <si>
    <t>SWAL</t>
  </si>
  <si>
    <t>Storm Water Filtration</t>
  </si>
  <si>
    <t>SURF, PERMEABLE</t>
  </si>
  <si>
    <t>HARVEST, STRM WTR</t>
  </si>
  <si>
    <t>Storm Water Treatment Structure</t>
  </si>
  <si>
    <t>TREATMNT, STRM WTR</t>
  </si>
  <si>
    <t>WTR SUP N/POT BLDG</t>
  </si>
  <si>
    <t>WTR SUP MAIN N/POT</t>
  </si>
  <si>
    <t>Water Distribution Line, Non-Potable</t>
  </si>
  <si>
    <t>AFCEC/CFT, AFSC/SEG</t>
  </si>
  <si>
    <t>Vehicle Bridge</t>
  </si>
  <si>
    <t>85120, 85730</t>
  </si>
  <si>
    <t>85110, 85710, 85720</t>
  </si>
  <si>
    <t>ROAD UNSRF</t>
  </si>
  <si>
    <t>Road, Unsurfaced</t>
  </si>
  <si>
    <t>85130, 85150, 85715, 85725</t>
  </si>
  <si>
    <t>Tunnel</t>
  </si>
  <si>
    <t>VEH PKING SURFACED</t>
  </si>
  <si>
    <t>Vehicle Parking, Surfaced</t>
  </si>
  <si>
    <t>TUNNEL, PED</t>
  </si>
  <si>
    <t>VEH PKNG, OPS</t>
  </si>
  <si>
    <t>VEH PKNG, N/ORGN</t>
  </si>
  <si>
    <t>VEH PKNG, UNSRF</t>
  </si>
  <si>
    <t>Vehicle Parking and Staging Area, Unsurfaced</t>
  </si>
  <si>
    <t>85211, 85216</t>
  </si>
  <si>
    <t>VEH/EQUIP PKNG, R-D</t>
  </si>
  <si>
    <t>VEH PKNG, REFL</t>
  </si>
  <si>
    <t>PVT VEH PKNG COMPD</t>
  </si>
  <si>
    <t>AFSFC/SFO, AFCEC/COS</t>
  </si>
  <si>
    <t>ACFT SPT/E STOR YD</t>
  </si>
  <si>
    <t>WALKWAY, BRIDGE</t>
  </si>
  <si>
    <t>Pedestrian Bridge</t>
  </si>
  <si>
    <t>WALKWAY, CV</t>
  </si>
  <si>
    <t>Sidewalk and Walkway</t>
  </si>
  <si>
    <t>85220. 85221</t>
  </si>
  <si>
    <t>85220, 85221</t>
  </si>
  <si>
    <t>VEHICLE STAGING, SURFACED/UN</t>
  </si>
  <si>
    <t>Vehicle Staging Area, Surfaced</t>
  </si>
  <si>
    <t>85210, 85212</t>
  </si>
  <si>
    <t>73080, 85310</t>
  </si>
  <si>
    <t>RR BRIDGE</t>
  </si>
  <si>
    <t>Railroad Bridge</t>
  </si>
  <si>
    <t>RR SHLTR PERS</t>
  </si>
  <si>
    <t>RR TRACKAGE</t>
  </si>
  <si>
    <t>Railroad Track</t>
  </si>
  <si>
    <t>Storm Drainage</t>
  </si>
  <si>
    <t>PMP STAT, NON-POT</t>
  </si>
  <si>
    <t>Water Pump Facility, Non-Potable</t>
  </si>
  <si>
    <t>STRM DRN DSPL</t>
  </si>
  <si>
    <t>STRM DRN PMP STN</t>
  </si>
  <si>
    <t>Retaining Structure</t>
  </si>
  <si>
    <t>Levees and Dikes for Grounds Drainage</t>
  </si>
  <si>
    <t>16430, 87125, 87126</t>
  </si>
  <si>
    <t>FENCE, BOUNDARY</t>
  </si>
  <si>
    <t>87210, 87250</t>
  </si>
  <si>
    <t>FENCE, SCTY</t>
  </si>
  <si>
    <t>Security Fence</t>
  </si>
  <si>
    <t>FENCE, INTERIOR</t>
  </si>
  <si>
    <t>MECH SCRTY</t>
  </si>
  <si>
    <t>Mechanical Security Barricade</t>
  </si>
  <si>
    <t>SCTY GUARD TWR</t>
  </si>
  <si>
    <t>REVEMENT PRE-ENG</t>
  </si>
  <si>
    <t>Revetment</t>
  </si>
  <si>
    <t>AIR COND PLT BLDG</t>
  </si>
  <si>
    <t>SOL N-R-G COLL SYS</t>
  </si>
  <si>
    <t>CMPRS AIR PLT</t>
  </si>
  <si>
    <t>CMPRS AIR PLT BLDG</t>
  </si>
  <si>
    <t>CMPRS AIR DISTR</t>
  </si>
  <si>
    <t>Installation Gas Distribution Line</t>
  </si>
  <si>
    <t>LOAD &amp; UNLOAD AREA</t>
  </si>
  <si>
    <t>GNTRY/BRDG CRANE</t>
  </si>
  <si>
    <t>Fixed Crane Structure</t>
  </si>
  <si>
    <t>TN</t>
  </si>
  <si>
    <t>LOAD &amp; UNLOAD PIT</t>
  </si>
  <si>
    <t>Loading Platform/Ramp</t>
  </si>
  <si>
    <t>LOAD&amp;UNLOAD PLATFM</t>
  </si>
  <si>
    <t>MISC STOR TANK AG</t>
  </si>
  <si>
    <t>Miscellaneous Storage Tank and Basin</t>
  </si>
  <si>
    <t>89510, 89520, 89530, 89540, 89550, 89560</t>
  </si>
  <si>
    <t>MISC STOR TANK UG</t>
  </si>
  <si>
    <t>UTIL LNE DUCTS</t>
  </si>
  <si>
    <t>Utility Channels</t>
  </si>
  <si>
    <t>UTILIDOR</t>
  </si>
  <si>
    <t>Utility Tunnel</t>
  </si>
  <si>
    <t>UTIL VAULT</t>
  </si>
  <si>
    <t>WEIGHING SCALE</t>
  </si>
  <si>
    <t>Vehicle Scales</t>
  </si>
  <si>
    <t>REFUSE/GARB BLD</t>
  </si>
  <si>
    <t>SHREDDER FAC</t>
  </si>
  <si>
    <t>COMB SEW IND WST TREAT BLDG</t>
  </si>
  <si>
    <t>BUILD HSG MISC UTIL PLT</t>
  </si>
  <si>
    <t>MONITORING WELL</t>
  </si>
  <si>
    <t>Monitoring Well</t>
  </si>
  <si>
    <t>DÉCOR FOUT/POND</t>
  </si>
  <si>
    <t>ENVIRON TST FAC</t>
  </si>
  <si>
    <t>POL CTCH BSN</t>
  </si>
  <si>
    <t>LAND, DONATION S&amp;L</t>
  </si>
  <si>
    <t>L</t>
  </si>
  <si>
    <t>Land</t>
  </si>
  <si>
    <t>LAND, FEE, CONDEMN</t>
  </si>
  <si>
    <t>LAND, FEE, PUR</t>
  </si>
  <si>
    <t>91210, 91220</t>
  </si>
  <si>
    <t>LAND, LSN, GEN USE</t>
  </si>
  <si>
    <t>91340, 91350, 91360</t>
  </si>
  <si>
    <t>91310, 91320</t>
  </si>
  <si>
    <t>LAND, PMT, GEN USE</t>
  </si>
  <si>
    <t>91310, 91320, 91330, 91340</t>
  </si>
  <si>
    <t>LAND, PUB, E.O.</t>
  </si>
  <si>
    <t>AIR RIGHTS</t>
  </si>
  <si>
    <t>Land Rights</t>
  </si>
  <si>
    <t>WATER RIGHTS</t>
  </si>
  <si>
    <t>LAND ESMT R-O-W/T</t>
  </si>
  <si>
    <t>92110, 92111, 92112, 92120, 92121, 92130, 92131</t>
  </si>
  <si>
    <t>92110, 92120, 92130, 92140, 92150</t>
  </si>
  <si>
    <t>REPI</t>
  </si>
  <si>
    <t>RESTRICTIONS</t>
  </si>
  <si>
    <t>LAND ESMT R-O-W/P</t>
  </si>
  <si>
    <t>LAND, LEASE S&amp;L</t>
  </si>
  <si>
    <t>LAND, LEASE RECAP</t>
  </si>
  <si>
    <t>92210, 92220, 92230</t>
  </si>
  <si>
    <t>LAND, LEASE, PVT-E</t>
  </si>
  <si>
    <t>LAND, LEASE &amp; SUSP</t>
  </si>
  <si>
    <t>LAND, INLEASE, MIN</t>
  </si>
  <si>
    <t>LAND, INLEASE, SP</t>
  </si>
  <si>
    <t>FGN LAND LEASE U99</t>
  </si>
  <si>
    <t>FGN LAND LEASE 99Y</t>
  </si>
  <si>
    <t>FGN LAND AGMT BSE</t>
  </si>
  <si>
    <t>FGN LAND REQ</t>
  </si>
  <si>
    <t>FGN LAND MISC</t>
  </si>
  <si>
    <t>CEOHP Snow Removal Storage</t>
  </si>
  <si>
    <t>As needed for bases with snow removal operation requirements.  Typically, only authorize space for items that must be kept in indoors.</t>
  </si>
  <si>
    <t>Use for location specific shops that are completely separate from the other shops like: Heat Plant, Missile Maintenance Shop, Steam System Maintenance Shop, etc.  User justified.  You must walk this space to see if what they have is sufficient for their mission.</t>
  </si>
  <si>
    <t>CEOFA Fire Alarms</t>
  </si>
  <si>
    <t>CEOFE Electrical Shop</t>
  </si>
  <si>
    <t>CEOFP Power Production Shop</t>
  </si>
  <si>
    <t>CEOIH HVAC</t>
  </si>
  <si>
    <t>CEOIC EMCS</t>
  </si>
  <si>
    <t>CEOIU Water and Fuel System Maintenance</t>
  </si>
  <si>
    <t>CEOIE Entomology</t>
  </si>
  <si>
    <t xml:space="preserve">CEOHS Structures </t>
  </si>
  <si>
    <t xml:space="preserve">CEOFA Fire Alarms </t>
  </si>
  <si>
    <t xml:space="preserve">CEOFE Electrical Shop </t>
  </si>
  <si>
    <t>CEOFP Power Production</t>
  </si>
  <si>
    <t xml:space="preserve">CEOIH HVAC </t>
  </si>
  <si>
    <t xml:space="preserve">CEOIC EMCS </t>
  </si>
  <si>
    <t xml:space="preserve">CEOIU WFSM </t>
  </si>
  <si>
    <t xml:space="preserve">CEOHP Pavements and Grounds </t>
  </si>
  <si>
    <t>CEO Superintendents</t>
  </si>
  <si>
    <t>CEOE, CEOI, CEOF, CEOH</t>
  </si>
  <si>
    <t>CC-xx, CEI-xx, CEN-xx, CEOE</t>
  </si>
  <si>
    <t>Competency and Task Evaluation Center</t>
  </si>
  <si>
    <t>Decontamination Shower/Latrine (USER JUSTIFIED)</t>
  </si>
  <si>
    <t>Computer, Telecommunications Server area</t>
  </si>
  <si>
    <t>CBRN Control Center</t>
  </si>
  <si>
    <t>Other as needed</t>
  </si>
  <si>
    <t>Customer/Family Waiting Room</t>
  </si>
  <si>
    <t>15 SF per person for staff.  Minimum 100 net SF, not to exceed 180 net SF, Per Draft AFMAN 32-1084, CATCODE 610119, Table 1.1</t>
  </si>
  <si>
    <t>Chief of Assistance (OCONUS)</t>
  </si>
  <si>
    <t>OCONUS Only</t>
  </si>
  <si>
    <t>Chief of Facilities (OCONUS)</t>
  </si>
  <si>
    <t>CEH Flight Chief/CEIH Section Chief</t>
  </si>
  <si>
    <t>Installation Housing Manager CEH OCONUS/CEIH CONUS</t>
  </si>
  <si>
    <t>May also be called Housing Program Manager</t>
  </si>
  <si>
    <t>Other shops as needed</t>
  </si>
  <si>
    <r>
      <t xml:space="preserve">Note: Each tab in the Customer Authorization Workbook (CAW) is based on a CATCODE. DAFMAN 32-1084 is now a collection of Category Codes (CATCODEs) and is maintained in the Whole Building Design Guide (WBDG) DAFMAN 32-1084 Facility Requirements Standards.  The CATCODEs are divided into Facility Class (FC) and Category Groups (CG).  The URL for the WBDG DAFMAN 32-1084 is as follows (copy and paste into browser):  </t>
    </r>
    <r>
      <rPr>
        <b/>
        <sz val="11"/>
        <color theme="1"/>
        <rFont val="Calibri"/>
        <family val="2"/>
        <scheme val="minor"/>
      </rPr>
      <t>https://www.wbdg.org/ffc/af-afcec/manuals-afm/afman-32-1084</t>
    </r>
  </si>
  <si>
    <r>
      <t xml:space="preserve">The administrative authorizations, office sizes, conference rooms, break rooms, etc. are typically based on Facility Class 6, Administrative; Category Group 61, Administrative and Administrative Support Spaces.  The URL reference is as follows (copy and paste into browser): </t>
    </r>
    <r>
      <rPr>
        <b/>
        <sz val="11"/>
        <rFont val="Calibri"/>
        <family val="2"/>
        <scheme val="minor"/>
      </rPr>
      <t>https://www.wbdg.org/FFC/AF/AFMAN/6_FC_6_CG_61_Admin_Overview_Nov_2022.pdf</t>
    </r>
  </si>
  <si>
    <t>Controlled by:  AFCEC/CIP</t>
  </si>
  <si>
    <t>Recycling Center (if in a building)</t>
  </si>
  <si>
    <t>Hazardous Waste Storage and/or Collection (if in a building)</t>
  </si>
  <si>
    <t>If the Recycling Center is in a building use CATCode 219946 (A=A).  If the Recycling Center is in a structure use CATCode 833101, Recycling Center.</t>
  </si>
  <si>
    <t>If the Hazardous Waste Storage/Collection point is in a building use CATCode 442257 (A=A).  If it is in a structure use CATCode 831410, Hazardous Waste Storage and Transfer Facility.</t>
  </si>
  <si>
    <t>Only if workspaces are also located in the warehouse building</t>
  </si>
  <si>
    <t>Secret Level Training Room</t>
  </si>
  <si>
    <t>EOD Operations Control Center</t>
  </si>
  <si>
    <t>Per AFMAN 32-1084, CATCODE 141165 Table 1.1, 250 SF for a small flight (up to 20 personnel), 400 SF for a medium flight (21-40 personnel), 800 SF for a large flight (41+ personnel).</t>
  </si>
  <si>
    <t>AFMAN 32-1084, CATCODE 141165 Table 1.1.  60 SF per person</t>
  </si>
  <si>
    <t>Per AFMAN 32-1084, CATCODE 141165 Table 1.1. Per assigned 4F9XX Equipment Series UTC</t>
  </si>
  <si>
    <t>BSERV Storage (Vehicle Bay)</t>
  </si>
  <si>
    <t>Total Containment Vessel</t>
  </si>
  <si>
    <t>Primary Weapons Vault/Storage</t>
  </si>
  <si>
    <t>Per AFMAN 32-1084, CATCODE 141165 Table 1.1, 150 SF for small and medium flights, 200 SF for large flights.</t>
  </si>
  <si>
    <t>Bunkroom</t>
  </si>
  <si>
    <t>Latrines/Showers</t>
  </si>
  <si>
    <t>Per AFMAN 32-1084, CATCODE 141165 Table 1.1, 300 SF for small flights, 500 SF for medium flights, 750 SF for large flights.</t>
  </si>
  <si>
    <t>Weapons cleaning and clearing area</t>
  </si>
  <si>
    <t>Secure Storage for Survey Equipment.  User Justified.</t>
  </si>
  <si>
    <t>Per AFMAN 32-1084, CATCODE 219944, Table 1.1, This is an average facility size. Use adjustment factors in AFMAN 32-1084, CATCODE 219944 (Proposed), Table 2 to Adjust Baseline Space Authorizations to Meet Manpower Authorizations</t>
  </si>
  <si>
    <t>Per AFMAN 32-1084, CATCODE 141165 Table 1.1, 225 SF for small flights, 165 SF + 3 SF per person for medium and large flights.</t>
  </si>
  <si>
    <t>NCOICs for Operations, Training and Logistics sections may also earn supervisor workspaces</t>
  </si>
  <si>
    <t>#X CC and #X Customer Service waiting spaces</t>
  </si>
  <si>
    <t>Only if located in the warehouse</t>
  </si>
  <si>
    <t>Per UFC 4-730-01 interactive space worksheet (See Fire Station Worksheet Tab).  Create a separate worksheet for each Fire Station.</t>
  </si>
  <si>
    <t>Missile Maintenance Shop, Heat Plant, Steam Plant, Contractor Shops, etc. (other shop example)</t>
  </si>
  <si>
    <t>Deputy CEO Flight Chief</t>
  </si>
  <si>
    <t>12 Reservists</t>
  </si>
  <si>
    <t>If needed - Ops Conf Room - 400 SF Max. This is in addition Unit Meeting Space, and provided to support CEO recurring meetings and double as the unit control center</t>
  </si>
  <si>
    <t>CEOHS Structures Shop</t>
  </si>
  <si>
    <t>Section Chiefs</t>
  </si>
  <si>
    <t>Deputy Flt/CCs, Flt Superintendents</t>
  </si>
  <si>
    <t>CENM - xx</t>
  </si>
  <si>
    <t>General Officer Furniture Storage</t>
  </si>
  <si>
    <t>Bases may have a requirement to store/maintain General Officer furnishings to support their Official Function Hosting requirements. Measure the space required.</t>
  </si>
  <si>
    <t xml:space="preserve">Only for Overseas (OCONUS) locations where personnel need loaner furniture until their household goods (HHG) arrive.  Some bases where personnel are not allow their full allowance of HHG may require more furnishing storage.  </t>
  </si>
  <si>
    <t>AFMAN 32-1084, Section 1.10.3, Change to .25 if Warehouse admin spaces included</t>
  </si>
  <si>
    <t>EOC Director and Manager</t>
  </si>
  <si>
    <t>EOC Staff</t>
  </si>
  <si>
    <t>15 ESF reps, 3 tenant org liaisons, 2 local agencies, 1 admin</t>
  </si>
  <si>
    <t>Video Display walls</t>
  </si>
  <si>
    <t>Internal Restroom, ADA Compliant-Unisex</t>
  </si>
  <si>
    <t>IT rack</t>
  </si>
  <si>
    <t>Shredder</t>
  </si>
  <si>
    <t>Equipment Storage (User Justified)</t>
  </si>
  <si>
    <t>XX Civil Engineer Squadron (XX CES)</t>
  </si>
  <si>
    <t>Measure what is needed, not just what they have.</t>
  </si>
  <si>
    <t>None</t>
  </si>
  <si>
    <t>Not authorized in EOC</t>
  </si>
  <si>
    <t>Per AF Housing Support Facilities Guide, Chapter 4, Table C - 10 SF per each Unaccompanied Housing space (Dorm Room).  Insert number of  Dorm rooms in Column G.</t>
  </si>
  <si>
    <t>Per AF Housing Support Facilities Guide, Chapter 4, Table C - 35 SF per each Full Furniture Loaner Kit.  Insert the number of loaner kits in Column G.</t>
  </si>
  <si>
    <t>AFMAN 32-1084, Section 4.3.2.3.2, Up to 25%</t>
  </si>
  <si>
    <t>AFMAN 32-1084, Section 4.3.2.3.2, Up to 25%.  10% is typical for warehouses/storage facilities</t>
  </si>
  <si>
    <t>AFMAN 32-1084, Section 4.3.2.3.2, Up to 25%.  Change to zero if the authorization is already in GSF.</t>
  </si>
  <si>
    <t>Secure Operational, Storage, and Information Technology Building</t>
  </si>
  <si>
    <t>Limited to 100 people.  Must manually enter the size of the room (per CG 61) in G145</t>
  </si>
  <si>
    <t xml:space="preserve">Large vehicles: P-22/24, P-33, P-23 (ARFF), </t>
  </si>
  <si>
    <t>Medium Vehicles: P-18/26, P-31, P-19 (ARFF)</t>
  </si>
  <si>
    <t>Small Vehicles: P-30, P-34, Command and Control Vehicles</t>
  </si>
  <si>
    <t>Paved surface provided for normal aircraft takeoffs and landings. This category includes crosswind, parallel, primary, instrument and instrument type runways.</t>
  </si>
  <si>
    <t>https://www.wbdg.org/FFC/AF/AFMAN/116401_Precision_Approach_Radar_Pad.pdf</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</si>
  <si>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</si>
  <si>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</si>
  <si>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</si>
  <si>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</si>
  <si>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</si>
  <si>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</si>
  <si>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</si>
  <si>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</si>
  <si>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</si>
  <si>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Applies to (1) Runway touchdown zone lights, (2) Runway centerline lights (category 2), (3) Visual approach slope indicator systems (VASI, PAPI, PLASI), and (4) Lights for short-field takeoff and landing zones.</t>
  </si>
  <si>
    <t>https://www.wbdg.org/FFC/AF/AFMAN/141446_Combat_Center_Building.pdf</t>
  </si>
  <si>
    <t>https://www.wbdg.org/FFC/AF/AFMAN/141449_Range_Operations_Headquarters.pdf</t>
  </si>
  <si>
    <t>https://www.wbdg.org/FFC/AF/AFMAN/141454_Tactical_Operations.pdf</t>
  </si>
  <si>
    <t>This is required only at installations that expend ordnance material in such large quantities that a control point is necessary and close to the flight line.</t>
  </si>
  <si>
    <t>https://www.wbdg.org/FFC/AF/AFMAN/141456_Intelligence_Surveillance_And_Reconnaissance_Squadrons.pdf</t>
  </si>
  <si>
    <t>https://www.wbdg.org/FFC/AF/AFMAN/141649_Weather_Wing_HQ.pdf</t>
  </si>
  <si>
    <t>A building that contains communications operations and communication equipment.  Communication equipment located in these facilities is not real property and is not included in this Facility Analysis Category</t>
  </si>
  <si>
    <t>Facility which is designed to perform five functions. These are chemical analysis material engineering verification, non-destructive inspection, environmental analysis, and form measurement.</t>
  </si>
  <si>
    <t>Material Processing Depot - This facility houses all of the automated material handling systems associated with the centralized processing of materiel in support of Air Logistics Center Supply and Transportation mission.</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</si>
  <si>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</si>
  <si>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</si>
  <si>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This facility is used to load/unload POL products from ocean-going tankers, barges, and ships that cannot approach the shore, thus at an off-shore location, not alongside a pier or wharf.</t>
  </si>
  <si>
    <t>Facility designed for the purpose of training pilots. Classroom space is separate from those directly associated with category codes 171-212, 171-214, 171-412, 141-753, and 171-213.</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</si>
  <si>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</si>
  <si>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</si>
  <si>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</si>
  <si>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</si>
  <si>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https://www.wbdg.org/FFC/AF/AFMAN/211111_Hangar_Maintenance.pdf</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</si>
  <si>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</si>
  <si>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https://www.wbdg.org/FFC/AF/AFMAN/211159_Aircraft_Corrosion_Control.pdf</t>
  </si>
  <si>
    <t>https://www.wbdg.org/FFC/AF/AFMAN/211183_Test_Cell.pdf</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</si>
  <si>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</si>
  <si>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https://www.wbdg.org/FFC/AF/AFMAN/211193_Noise_Suppressor_System.pdf</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</si>
  <si>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</si>
  <si>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This facility is a shed-type, unheated parking structure that is provided for certain essential vehicles in areas of heavy snow or abnormality high heat.</t>
  </si>
  <si>
    <t>https://www.wbdg.org/FFC/AF/AFMAN/216642_Shop_Conv_Munitions.pdf</t>
  </si>
  <si>
    <t>COLLIMATION TOWER</t>
  </si>
  <si>
    <t>https://www.wbdg.org/FFC/AF/AFMAN/217712_Shop_Avionics.pdf</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</si>
  <si>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</si>
  <si>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</si>
  <si>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</si>
  <si>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</si>
  <si>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A structure for storing ammunition at an installation that provides overhead protection from the elements.</t>
  </si>
  <si>
    <t>This category code is restricted to assignment and use by distribution functions at the Air Logistics Centers. Use this code if supplies &amp; equipment are utilized in or produced by the depot function.</t>
  </si>
  <si>
    <t>This category code identifies the cryogenics generating and storage facility with a protective fence enclosure, concrete foundation with Lox compatible sealer in joints, has drive through capability, grounding points and blow-down condensation traps.</t>
  </si>
  <si>
    <t>20 foot high, covered facility with walls on three sides and designed for storage of equipment and materials that may be stored in open but covered space.</t>
  </si>
  <si>
    <t>Facility designed for depot storage of materials and equipment not requiring closed storage space. For organizations other than depot, use category code 452-252.</t>
  </si>
  <si>
    <t>LAND FARM</t>
  </si>
  <si>
    <t>This category code identifies the AF clinic which includes space for administration, outpatient records, primary care physical examination, emergency service, medicine, allergy, immunization, mental health, surgical, urology. Orthopedic, pediatric, ob-gyn, and support areas.</t>
  </si>
  <si>
    <t>FISHER HOUSE</t>
  </si>
  <si>
    <t>https://www.wbdg.org/FFC/AF/AFMAN/610124_Squadron_Company_Headquarters_Bldg.pdf</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</si>
  <si>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</si>
  <si>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https://www.wbdg.org/FFC/AF/AFMAN/610911_Equal_Opportunity_Facility.pdf</t>
  </si>
  <si>
    <t>https://www.wbdg.org/FFC/AF/AFMAN/721421_Unaccompanied_Personnel_Quarters.pdf</t>
  </si>
  <si>
    <t>Facility designed for visiting unaccompanied enlisted personnel and civilian equivalents. The standard living unit is similar to category code 721-312.</t>
  </si>
  <si>
    <t>Same type facility as 722-351, except configured to serve the officer contingent. Typically the facility is somewhat smaller to the Airman version, mainly due to population.</t>
  </si>
  <si>
    <t>Detached garages that are used by unaccompanied personnel when staying at UEPH.</t>
  </si>
  <si>
    <t>Tower and communication center dedicated to fire protection on base in a separate facility from category code 730142.  See AFH 32-1084 for criteria.</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</si>
  <si>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</si>
  <si>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https://www.wbdg.org/FFC/AF/AFMAN/730839_Access_Control_Facility.pdf</t>
  </si>
  <si>
    <t>Facility designed to accommodate static reaction security force personnel consisting of one or two 4-man teams at locations where surety weapons are located.</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</si>
  <si>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</si>
  <si>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Facility designed to provide Air Force installation patrons with material goods shopping stores where the military family housing area is located remote from the main base exchange and where the military strength is 2500 or more.</t>
  </si>
  <si>
    <t>FITNESS ROOM</t>
  </si>
  <si>
    <t>This facility hoses various support functions for TLF’s whenever these functions are not or cannot be incorporated within the main structure. These functions may include administration, lounge, mechanical equipment space or a launderette and custodial room.</t>
  </si>
  <si>
    <t>Open mess for both officer and enlisted personnel. Where officers and enlisted share all functional area, except having separate bars.</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</si>
  <si>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</si>
  <si>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</si>
  <si>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STANDBY GENERATOR</t>
  </si>
  <si>
    <t>This category code identifies those facilities that change the voltage, normally from high voltage (15000 and higher) to a lower voltage for primary distribution. They include the transformers, switching equipment, circuit breakers and safety equipment.</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</si>
  <si>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</si>
  <si>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https://www.wbdg.org/FFC/AF/AFMAN/842245_Water_Distribution_Line_Potable.pdf</t>
  </si>
  <si>
    <t>A building that houses the equipment and support functions associated with the collection, processing, and disposal of refuse and garbage. This category should be used in conjunction with the structures in the 833-series, Refuse and Garbage.</t>
  </si>
  <si>
    <t>PRV Unit Cost Factor (PUC)</t>
  </si>
  <si>
    <t>ROTARY WNG LNDG PAD, UP</t>
  </si>
  <si>
    <t>Miscellaneous Airfield Pavement, Unsurfaced</t>
  </si>
  <si>
    <t>ROTARY WNG TAXI PVD</t>
  </si>
  <si>
    <t>Rotary-Wing Taxiway, Surfaced</t>
  </si>
  <si>
    <t>11115, 11120</t>
  </si>
  <si>
    <t>12315, 12517</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</si>
  <si>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</si>
  <si>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</si>
  <si>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12210, 12220</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</si>
  <si>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</si>
  <si>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12310,12311, 12312, 12314, 12322, 12333</t>
  </si>
  <si>
    <t>12310, 74031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</si>
  <si>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</si>
  <si>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</si>
  <si>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</si>
  <si>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</si>
  <si>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</si>
  <si>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</si>
  <si>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12461, 12471, 12473, 12483,</t>
  </si>
  <si>
    <t>OP STOR, HYDR</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</si>
  <si>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</si>
  <si>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t>
  </si>
  <si>
    <t>12460, 12472, 12482,</t>
  </si>
  <si>
    <t>OP STOR, ROCKET UG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</si>
  <si>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</si>
  <si>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</si>
  <si>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A facility that consists of POL pumps and related pumping equipment. This does not include the building housing the pumping equipment, which is carried under FAC 1444 (Miscellaneous Operations Support Building).</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</si>
  <si>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</si>
  <si>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</si>
  <si>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 </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</si>
  <si>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</si>
  <si>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 radar used to supplement the coverage of the principal radar in areas where coverage is inadequate</t>
  </si>
  <si>
    <t>Communications Facility/Tower</t>
  </si>
  <si>
    <t>It includes power and communication circuits, ducts, manholes, transformers, control and protective devices and associated equipment.</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</si>
  <si>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</si>
  <si>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Precision approach radar (PAR) is a type of radar guidance system designed to provide lateral and vertical guidance to an aircraft pilot for landing, until the landing threshold is reached.</t>
  </si>
  <si>
    <t>A terminal air traffic control facility using radar and non-radar capabilities to provide approach control services to aircraft arriving, departing, transiting airspace controlled by the facility.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</si>
  <si>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</si>
  <si>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</si>
  <si>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Utility Vault</t>
  </si>
  <si>
    <t>Emergency Operations Center</t>
  </si>
  <si>
    <t>14162, 14171</t>
  </si>
  <si>
    <t>Parachute And Dinghy Maintenance Shop</t>
  </si>
  <si>
    <t>OPS BLD, UG</t>
  </si>
  <si>
    <t> A radiosonde is a battery-powered telemetry instrument package carried into the atmosphere usually by a weather balloon that measures various atmospheric parameters and transmits them by radio to a ground receiver.</t>
  </si>
  <si>
    <t>Rocket Sonde definition:  a telemeter for gathering data on the atmosphere at very high altitudes carried aloft by rocket and returned to earth by parachute</t>
  </si>
  <si>
    <t>ACC/A4</t>
  </si>
  <si>
    <t>OP WEATHER SQ</t>
  </si>
  <si>
    <t>COMBAT WEATHER SQ</t>
  </si>
  <si>
    <t>COMBAT WTHR SUPT SQ</t>
  </si>
  <si>
    <t>Active duty Aeromedical Evacuation Missions fall under this category code.</t>
  </si>
  <si>
    <t>Also see WEIGHT SCALE, 890-197, SF/EA.</t>
  </si>
  <si>
    <t>12316, 12317, 12520, 14313</t>
  </si>
  <si>
    <t>Canvas roofs are expendable items and are the responsibility of the tenant.</t>
  </si>
  <si>
    <t>EXP RW HOLD YD</t>
  </si>
  <si>
    <t>Explosives Railway Holding Yard</t>
  </si>
  <si>
    <t>(Also see 212-252, SHOP, PILOTLESS AIRCRAFT)</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</si>
  <si>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</si>
  <si>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Ceilometer, device for measuring the height of cloud bases and overall cloud thickness.</t>
  </si>
  <si>
    <t>Fog Investigation and Dispersal Operation (FIDO) (which was sometimes referred to as "Fog Intense Dispersal Operation" or "Fog, Intense Dispersal Of") was a system used for dispersing fog and pea soup fog (dense smog) from an airfield so that aircraft could land safely.</t>
  </si>
  <si>
    <t>Observation &amp; Training  Tower</t>
  </si>
  <si>
    <t>17912, 17935,</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</si>
  <si>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</si>
  <si>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OFFSHRE MOORING FCLTY</t>
  </si>
  <si>
    <t>CY</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</si>
  <si>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</si>
  <si>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</si>
  <si>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SOLDIER FITNESS</t>
  </si>
  <si>
    <t>17630, 17811, 17829</t>
  </si>
  <si>
    <t>The ISBC-W is a multipurpose Infantry Squad Battle Course designed to enable an Infantry Squad to practice battle drills in multiple Live Fire, MILES and Force on Force scenarios.</t>
  </si>
  <si>
    <t>Light &amp; Heavy Demolition Range</t>
  </si>
  <si>
    <t>17752, 17753</t>
  </si>
  <si>
    <t>Ground Combat Training Structure</t>
  </si>
  <si>
    <t>This catcode is also used for semi-driver training.</t>
  </si>
  <si>
    <t xml:space="preserve">Unenclosed Fire Fighter Trainer Facility </t>
  </si>
  <si>
    <t>Confidence/Obstacle Course</t>
  </si>
  <si>
    <t>NGB VEH MAINT SHP</t>
  </si>
  <si>
    <t>Vehicle Maintenance Shop, National Guard</t>
  </si>
  <si>
    <t>ARMY RES VEH MAINT SHP</t>
  </si>
  <si>
    <t>Vehicle Maintenance Shop, Reserve</t>
  </si>
  <si>
    <t>VEH HLDG SHED</t>
  </si>
  <si>
    <t>Installation Support Equipment Maintenance Shed</t>
  </si>
  <si>
    <t>VEH MAINT SHED</t>
  </si>
  <si>
    <t>Vehicle Maintenance Shed</t>
  </si>
  <si>
    <t>Electronic and Communication Maintenance Facility</t>
  </si>
  <si>
    <t>GRND SUP EQUIP HLDG SHED</t>
  </si>
  <si>
    <t>BE PAV GRND FCLTY</t>
  </si>
  <si>
    <t>Construction Material Production Structure</t>
  </si>
  <si>
    <t>WILDLIFE OBS BLDG</t>
  </si>
  <si>
    <t>MSL SILO TS</t>
  </si>
  <si>
    <t>RKT PROP HYDR AG</t>
  </si>
  <si>
    <t>RKT PROP HYDRA, UG</t>
  </si>
  <si>
    <t>HE MAG</t>
  </si>
  <si>
    <t>Ammunition Storage Shed, Installation</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</si>
  <si>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</si>
  <si>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*LRS Facility.</t>
  </si>
  <si>
    <t>Ambulance Building</t>
  </si>
  <si>
    <t>An area in a clinic, unit, or ward in a health care facility that serves as the administrative center for nursing care for a particular group of patients.</t>
  </si>
  <si>
    <t>Ambulatory Care Center</t>
  </si>
  <si>
    <t>ADMIN BLDG, GP, HIGH RSE</t>
  </si>
  <si>
    <t>General Administrative Building, High-Rise</t>
  </si>
  <si>
    <t>SVC</t>
  </si>
  <si>
    <t>FAM HSG HIGH RISE</t>
  </si>
  <si>
    <t>Family Housing High Rise Building</t>
  </si>
  <si>
    <t>FAM HSG OTHR DETACHED</t>
  </si>
  <si>
    <t>Miscellaneous Family Housing Support Facility</t>
  </si>
  <si>
    <t>GARGE, AUTO</t>
  </si>
  <si>
    <t>Unaccompanied Personnel Housing Garage</t>
  </si>
  <si>
    <t>UNACC HSG OTHER DETACHED</t>
  </si>
  <si>
    <t>Miscellaneous UPH Support Building</t>
  </si>
  <si>
    <t>HSG EMERG</t>
  </si>
  <si>
    <t>PVT OWN VEH INSPECT STN</t>
  </si>
  <si>
    <t>Private Vehicle Inspection Facility</t>
  </si>
  <si>
    <t>Military &amp; Family Support Center</t>
  </si>
  <si>
    <t>MARINA SUP BLDG</t>
  </si>
  <si>
    <t>Boathouse</t>
  </si>
  <si>
    <t>Canine boarding kennels.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</si>
  <si>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</si>
  <si>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SWIM POOL, OUTDR</t>
  </si>
  <si>
    <t>BATT ENGY STRG SYS</t>
  </si>
  <si>
    <t>Battery Energy Storage System (BESS)</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</si>
  <si>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</si>
  <si>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</si>
  <si>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EVSE LVL 1</t>
  </si>
  <si>
    <t>Level 1 AC EVSF:  120v - wall or pedestal mounted.  Standard Electrical wall outlet.</t>
  </si>
  <si>
    <t>Electric Vehicle Charge Facility</t>
  </si>
  <si>
    <t>EVSE LVL 2</t>
  </si>
  <si>
    <t>Level 2 AC EVSF:  240v - Wall or pedestal mounted.</t>
  </si>
  <si>
    <t>EVCF LVL 3</t>
  </si>
  <si>
    <t>Level 3 DC EVSF:  480v - DC fast charging.</t>
  </si>
  <si>
    <t>EA = THE NUMBER OF POLES/NOT THE NUMBER OF LIGHTS ON THE POLES</t>
  </si>
  <si>
    <t>Use the kilovolt ampere (KVA) rating that is found on the nameplate on the transformer or obtained from the manufacturer. It is the lowest rating when multiple ratings are provided (i.e. 12000/16000/20000 – OA/FA/FOA)</t>
  </si>
  <si>
    <t>TRANS STN LESS THAN 500KV</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</si>
  <si>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</si>
  <si>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Heat Source, Plant</t>
  </si>
  <si>
    <t>Refrigeration and Air Conditioning Source, Plant</t>
  </si>
  <si>
    <t>Facility designed to collect and separate spilled fuel and oil carried by surface water draining from aircraft parking aprons or other pavements susceptible to fuel spills (OIL &amp; WATER SEPARATOR).</t>
  </si>
  <si>
    <t>​This catcode are for "permitted" facilities only.</t>
  </si>
  <si>
    <t>Refuse Collection and Recycling Structure</t>
  </si>
  <si>
    <t>MG = Million Gallons. (LAKE/POND)</t>
  </si>
  <si>
    <t>Water Well, Fire Protection</t>
  </si>
  <si>
    <t>Road, Surfaced</t>
  </si>
  <si>
    <t>Normally used in housing areas.</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</si>
  <si>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</si>
  <si>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14910, 86020</t>
  </si>
  <si>
    <t>NAV REVETMNT</t>
  </si>
  <si>
    <t>Navigation Revetments</t>
  </si>
  <si>
    <t>FLOOD CNTRL</t>
  </si>
  <si>
    <t>Flood Control Structures</t>
  </si>
  <si>
    <t>FLOOD CNTRL LEVEE</t>
  </si>
  <si>
    <t>Flood Control Levee/Floodwall</t>
  </si>
  <si>
    <t>This CATCODE is not intended for cranes internal to facilities or a subcomponent of another facility.  This is for a stand alone facility.</t>
  </si>
  <si>
    <t>Use 89120, Plant Utilities Building, for building.</t>
  </si>
  <si>
    <t>LAND, DONATION PVT</t>
  </si>
  <si>
    <t>RPA Interest Type = LESS</t>
  </si>
  <si>
    <t>, CTR, AFCEC/CIPA, (email address)</t>
  </si>
  <si>
    <t>CEOHP Horizontal Construction</t>
  </si>
  <si>
    <t xml:space="preserve">Per AFMAN 32-1084, CATCODE 610913, Table 1.1. </t>
  </si>
  <si>
    <t>Per AFMAN 32-1084, CATCODE 610913, Table 1.1</t>
  </si>
  <si>
    <t>Per AFMAN 32-1084, CATCODE 610913, Table 1.1, 125 SF min - 180 SF for 60 person student load.  3 SF per student over 60.</t>
  </si>
  <si>
    <t>Per AFMAN 32-1084, CATCODE 610913, Table 1.1, 4 SF per server rack</t>
  </si>
  <si>
    <t>Per AFMAN 32-1084, CATCODE 140421, Table 1.1</t>
  </si>
  <si>
    <t xml:space="preserve">Sub-Total Gross </t>
  </si>
  <si>
    <r>
      <t>CATCode 219944 Funded Manpower Positions</t>
    </r>
    <r>
      <rPr>
        <b/>
        <vertAlign val="superscript"/>
        <sz val="12"/>
        <color rgb="FF000000"/>
        <rFont val="Times New Roman"/>
        <family val="1"/>
      </rPr>
      <t>1</t>
    </r>
  </si>
  <si>
    <t>Adjustment Factor</t>
  </si>
  <si>
    <t>Baseline Authorization (NSF)</t>
  </si>
  <si>
    <t>Manpower- Adjusted Authorization (NSF)</t>
  </si>
  <si>
    <t>90 - 120</t>
  </si>
  <si>
    <t>121 - 140</t>
  </si>
  <si>
    <t>141 - 160</t>
  </si>
  <si>
    <t>161 - 180</t>
  </si>
  <si>
    <t>181 - 210</t>
  </si>
  <si>
    <t>211 - 250</t>
  </si>
  <si>
    <t>251 - 300</t>
  </si>
  <si>
    <t>301 - 350</t>
  </si>
  <si>
    <t>351 - 400</t>
  </si>
  <si>
    <t xml:space="preserve">Note: </t>
  </si>
  <si>
    <r>
      <t>1.</t>
    </r>
    <r>
      <rPr>
        <sz val="7"/>
        <color theme="1"/>
        <rFont val="Times New Roman"/>
        <family val="1"/>
      </rPr>
      <t xml:space="preserve">       </t>
    </r>
    <r>
      <rPr>
        <sz val="12"/>
        <color theme="1"/>
        <rFont val="Times New Roman"/>
        <family val="1"/>
      </rPr>
      <t>For installations that may not have a full complement of BCE shops traditionally included within this CATCode, or do not earn at least 90 personnel aligned to CATCode 219944; prorate the baseline authorization down to calculate a reasonable CATCode 219944 BCE Maintenance Shop authorization.</t>
    </r>
  </si>
  <si>
    <t>Table 2 Manpower Authorization Adjustment Factors</t>
  </si>
  <si>
    <t>Per AFMAN 32-1084, CATCODE 219943, Table 1.1.  Use CEOHP manning with all other 219944 shops to determine the manpower adjustment factor in CATCode 219944 proposed criteria Table 2 (see 219944 tab)</t>
  </si>
  <si>
    <t xml:space="preserve">Use 730142 for stations that provide emergency crash/rescue operations on the airfield and structure fires on base, or fire stations that just provide structural response.  Use 141101 Airfield Fire and Rescue Station for small stations that only support airfield operations.  </t>
  </si>
  <si>
    <t>RPA Type</t>
  </si>
  <si>
    <t>Runway</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</si>
  <si>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</si>
  <si>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Overrun, Paved</t>
  </si>
  <si>
    <t xml:space="preserve">An extension of the runway pavement excluding shoulders. Cost includes asphalt surface, base, sub-base, and striping (excluding shoulders). An overrun is an extension of the length of the runway pavement. </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</si>
  <si>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</si>
  <si>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</si>
  <si>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Runway, Unpaved</t>
  </si>
  <si>
    <t>For inventory purposes, include only the prepared runway.</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</si>
  <si>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</si>
  <si>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</si>
  <si>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</si>
  <si>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</si>
  <si>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Taxiway</t>
  </si>
  <si>
    <t>Apron</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</si>
  <si>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</si>
  <si>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Short Field Takeoff and Landing</t>
  </si>
  <si>
    <t>RPIE:  ANCHORS, RUBBER, MARKINGSThe facility is used to train crews of cargo aircraft to conduct airlift operations in the type of airfield environment found at forward operating locations.</t>
  </si>
  <si>
    <t>Aircraft Rinse Facility</t>
  </si>
  <si>
    <t>AIRCRAFT RINSE FACILITY</t>
  </si>
  <si>
    <t>An aircraft rinse facility provides an unattended taxi-through, treadle operated, freshwater deluge system to rinse aircraft.</t>
  </si>
  <si>
    <t>Precision Approach Radar Pad</t>
  </si>
  <si>
    <t>PAD, either concrete or pavement, constructed to support PAR equipment on an airfield.</t>
  </si>
  <si>
    <t>Fire &amp; Rescue Vehicle Alert Pad</t>
  </si>
  <si>
    <t>Shoulder,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</si>
  <si>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</si>
  <si>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Arming and Disarming Pads</t>
  </si>
  <si>
    <t>Pad, Dangerous Cargo, Load/Unload</t>
  </si>
  <si>
    <t>Helicopter Pad</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</si>
  <si>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</si>
  <si>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Power Check</t>
  </si>
  <si>
    <t>A Power Check Pad is an outdoor testing facility designed for in-frame or out-of-frame testing of jet engines.  They generally use a thickened concrete slab with tie-down fittings and a blast diverter/deflector.</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</si>
  <si>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</si>
  <si>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</si>
  <si>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(The metal building is EQUIPMENT; the pad is the concrete that the building protects.)</t>
  </si>
  <si>
    <t>Pad, Warmup, Holding</t>
  </si>
  <si>
    <t>Pad, Calibration</t>
  </si>
  <si>
    <t>Pad, Launching</t>
  </si>
  <si>
    <t>Aircraft Washrack</t>
  </si>
  <si>
    <t>Aircraft Arresting System Support</t>
  </si>
  <si>
    <t>Firing In Butt</t>
  </si>
  <si>
    <t>Jet Blast Deflector</t>
  </si>
  <si>
    <t>POL - Petroleum Operations Building</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</si>
  <si>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</si>
  <si>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</si>
  <si>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</si>
  <si>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</si>
  <si>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</si>
  <si>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</si>
  <si>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</si>
  <si>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</si>
  <si>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</si>
  <si>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</si>
  <si>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</si>
  <si>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</si>
  <si>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</si>
  <si>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</si>
  <si>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</si>
  <si>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</si>
  <si>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</si>
  <si>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</si>
  <si>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</si>
  <si>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</si>
  <si>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</si>
  <si>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</si>
  <si>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</si>
  <si>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Operating Storage, Special Fuels - Above Ground</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</si>
  <si>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</si>
  <si>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</si>
  <si>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</si>
  <si>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</si>
  <si>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</si>
  <si>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</si>
  <si>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</si>
  <si>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</si>
  <si>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</si>
  <si>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</si>
  <si>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</si>
  <si>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</si>
  <si>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Operating Storage, Special Fuels - Underground</t>
  </si>
  <si>
    <t>Underground storage tanks that provide an operating and reserve supply of special fuels not in the aircraft, marine, or vehicle categories.  Includes heating fuel, lubricants and miscellaneous POLs.</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</si>
  <si>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</si>
  <si>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</si>
  <si>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</si>
  <si>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</si>
  <si>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</si>
  <si>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</si>
  <si>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</si>
  <si>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</si>
  <si>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</si>
  <si>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</si>
  <si>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</si>
  <si>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</si>
  <si>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</si>
  <si>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</si>
  <si>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</si>
  <si>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POL - Piping, Petroleum and Gases - Underground</t>
  </si>
  <si>
    <t>POL - Pipeline, Liquid Fuels and Gases - Underground</t>
  </si>
  <si>
    <t>POL - Pipeline, Liquid Fuels and Gases - Above Ground</t>
  </si>
  <si>
    <t>POL - Pump Station, Liquid Fuel</t>
  </si>
  <si>
    <t xml:space="preserve">POL - Liquid Fuel Truck Fill Stand, Loading </t>
  </si>
  <si>
    <t xml:space="preserve">POL - Liquid Fuel Truck Stand, Unloading </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</si>
  <si>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</si>
  <si>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</si>
  <si>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(Autodin = Automatic Digital Network or ADNS)</t>
  </si>
  <si>
    <t>Military Affiliate Radio System</t>
  </si>
  <si>
    <t>Communications Receiver</t>
  </si>
  <si>
    <t>A facility for the fixed communication receivers only for the air control tower (ATC), air-ground ground controlled approach (GCA) and radar approach control (RAPCON).</t>
  </si>
  <si>
    <t>Communications-Transmitter/Receiver</t>
  </si>
  <si>
    <t>A facility for the combined communication transmitters and receivers for the air control tower (ATC), air-ground ground controlled approach (GCA) and radar approach control (RAPCON).</t>
  </si>
  <si>
    <t>Communications-Transmitter</t>
  </si>
  <si>
    <t>A facility for the communication transmitters only for the air control tower (ATC), air-ground ground controlled approach (GCA) and radar approach control (RAPCON).</t>
  </si>
  <si>
    <t>Radio Relay Facility</t>
  </si>
  <si>
    <t>American Forces Radio and Television Station</t>
  </si>
  <si>
    <t>Satellite Communications Ground Terminal</t>
  </si>
  <si>
    <t>Communications,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</si>
  <si>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</si>
  <si>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AIRCOM Relay Center</t>
  </si>
  <si>
    <t>Automatic Switching Center</t>
  </si>
  <si>
    <t>AIRCOM Receiver</t>
  </si>
  <si>
    <t>AIRCOM Transmitter</t>
  </si>
  <si>
    <t>High Frequency AIRCOM Microwave Relay</t>
  </si>
  <si>
    <t>AIRCOM Radio Relay</t>
  </si>
  <si>
    <t>Gap Filler</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</si>
  <si>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</si>
  <si>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</si>
  <si>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</si>
  <si>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Counterspace Operations</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</si>
  <si>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</si>
  <si>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</si>
  <si>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Space Launch and Range Operations Facility</t>
  </si>
  <si>
    <t>SPACE LAUNCH AND RANGE OPS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</si>
  <si>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</si>
  <si>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SILO Hardened HF Antenna</t>
  </si>
  <si>
    <t>Pad, Equipment or Support</t>
  </si>
  <si>
    <t>General purpose concrete pad used to support miscellaneous equipment items such as air conditioners, generators, towers, etc.</t>
  </si>
  <si>
    <t>Antenna Support Structure</t>
  </si>
  <si>
    <t>Non-Directional Beacon (Building)</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</si>
  <si>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</si>
  <si>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</si>
  <si>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UHF Direction Finding</t>
  </si>
  <si>
    <t>Wind Measuring Equipment</t>
  </si>
  <si>
    <t>Automatic Meteorological Station</t>
  </si>
  <si>
    <t>Airfield Signs And Markers</t>
  </si>
  <si>
    <t>Remote Control Circuits</t>
  </si>
  <si>
    <t>Ground Control Intercept</t>
  </si>
  <si>
    <t>Ground-controlled interception (GCI) an air defense tactic whereby one or more radar stations or other observational stations are linked to a command communications centre which guides interceptor aircraft to an airborne target.</t>
  </si>
  <si>
    <t>Ground Controlled Approach, Fixed</t>
  </si>
  <si>
    <t>This facility  provides surveillance and precision radar approach control at installations without approach control authority.</t>
  </si>
  <si>
    <t>Ground Controlled Approach Vault</t>
  </si>
  <si>
    <t>Ground Controlled Approach RAPCON Support Building</t>
  </si>
  <si>
    <t>Instrument Landing System Glide Slope</t>
  </si>
  <si>
    <t>Instrument Landing System Localizer</t>
  </si>
  <si>
    <t>ILS Marker Beacon</t>
  </si>
  <si>
    <t>RADAR Turntable</t>
  </si>
  <si>
    <t>Precision Approach RADAR</t>
  </si>
  <si>
    <t>RADAR Approach Control Center</t>
  </si>
  <si>
    <t>A Radar Approach Control Facility (RAPCON) controls aircraft by using installed radar to provide Air Traffic Control Tower information for aircraft arriving, departing, or transiting the airspace controlled by the facility.</t>
  </si>
  <si>
    <t>Airport Surveillance RADAR</t>
  </si>
  <si>
    <t>Radio Beacon Facility</t>
  </si>
  <si>
    <t>Tactical Air Navigation Station, Fixed</t>
  </si>
  <si>
    <t>Navigational Aid Tower</t>
  </si>
  <si>
    <t>Low Power Terminal VHF OMNIRANGE</t>
  </si>
  <si>
    <t>High Power VHR OMNIRANGE</t>
  </si>
  <si>
    <t>Navigational aid with an output of 200 Watts. It is used to provide in route aircraft with course and bearing information. This type facility may be used for both in route and terminal air traffic control service.</t>
  </si>
  <si>
    <t>TVOR-RACAN, Fixed</t>
  </si>
  <si>
    <t>Wind Direction Indicator</t>
  </si>
  <si>
    <t>Telephone DUCT Facility</t>
  </si>
  <si>
    <t>Telephone Pole Facility</t>
  </si>
  <si>
    <t>Light, Beacon</t>
  </si>
  <si>
    <t>Light, Approach</t>
  </si>
  <si>
    <t>Obstruction Light</t>
  </si>
  <si>
    <t>Lighting, Runway</t>
  </si>
  <si>
    <t>Special Airfield Lighting</t>
  </si>
  <si>
    <t>Taxiway Lighting</t>
  </si>
  <si>
    <t>Airfield Lighting Vault</t>
  </si>
  <si>
    <t>Lighthouse</t>
  </si>
  <si>
    <t xml:space="preserve">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</si>
  <si>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</si>
  <si>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</si>
  <si>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Secure Communication Server Farm Facility</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</si>
  <si>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</si>
  <si>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</si>
  <si>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</si>
  <si>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</si>
  <si>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Crash Boat Crew Station</t>
  </si>
  <si>
    <t>Explosive Ordnance Disposal</t>
  </si>
  <si>
    <t>Guided Missile Launch Control</t>
  </si>
  <si>
    <t>Aircraft Single, Environmental Protection Shelter</t>
  </si>
  <si>
    <t>Overhead structure to protect a single aircraft from inclement weather. See also CC 146601 - Aircraft Sunshelter.</t>
  </si>
  <si>
    <t>Hardened Aircraft Shelter</t>
  </si>
  <si>
    <t>Alert Hangar, Fighter Aircraft</t>
  </si>
  <si>
    <t>Ready Shelter Facility</t>
  </si>
  <si>
    <t>(Air Raid/Fall-out Shelter)</t>
  </si>
  <si>
    <t>Helicopter Rescue and Recovery Hangar</t>
  </si>
  <si>
    <t>Aerial Delivery Facility</t>
  </si>
  <si>
    <t>AERIAL Port Detachment Facility designed for parachute packing and maintenance, rigging of supplies for airdrop or extraction, communications equipment maintenance, classroom, admin and storage.</t>
  </si>
  <si>
    <t>Audiovisual Facility</t>
  </si>
  <si>
    <t>file:///C:/Users/535642/AppData/Local/Temp/MicrosoftEdgeDownloads/10c87480-ab96-403c-ae2e-7df6629575a4/141383_Audiovisual_Facility.pdf</t>
  </si>
  <si>
    <t>Motion Picture Laboratory</t>
  </si>
  <si>
    <t>Film Storage Vault</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</si>
  <si>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</si>
  <si>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</si>
  <si>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RADAR Transmitter and Computer Building</t>
  </si>
  <si>
    <t>RADAR Transmitter Building (BMEWS)</t>
  </si>
  <si>
    <t>Space Surveillance/Missile Warning</t>
  </si>
  <si>
    <t>SPACE SURV/MISSILE WRN BLDG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</si>
  <si>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</si>
  <si>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Underground Complex Operations Building</t>
  </si>
  <si>
    <t>Underground-facility nuclear blast and High Altitude Electromagnetic Pulse (HEMP) protected buildings riding on a steel spring and damper ground shock isolation system.</t>
  </si>
  <si>
    <t>RADOME Tower Building</t>
  </si>
  <si>
    <t>RADAR Tower Building</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</si>
  <si>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</si>
  <si>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</si>
  <si>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</si>
  <si>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Direction Center Facility</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</si>
  <si>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</si>
  <si>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</si>
  <si>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Base Operations</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</si>
  <si>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</si>
  <si>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</si>
  <si>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Ordnance Control Point Operations</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</si>
  <si>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</si>
  <si>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</si>
  <si>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Readiness Crew</t>
  </si>
  <si>
    <t>(Pilot living quarters while on duty.  Has kitchen and sleeping quarters.)</t>
  </si>
  <si>
    <t>USAF Command Post</t>
  </si>
  <si>
    <t xml:space="preserve">Aircraft Control and Warning Operations DEWLINE </t>
  </si>
  <si>
    <t>Aircraft CONTR and Warning Operations BLDG</t>
  </si>
  <si>
    <t>Weather Rawinsonde Building</t>
  </si>
  <si>
    <t>Weather Instrument Building</t>
  </si>
  <si>
    <t>Facility designed to house temperature and humidity instruments at locations which do not have the facility described in category code 149624.</t>
  </si>
  <si>
    <t>Surface Weather Observing Facility</t>
  </si>
  <si>
    <t>Rocketsonde CONTR Building</t>
  </si>
  <si>
    <t>Weather Wing HQ</t>
  </si>
  <si>
    <t>This facility is for a weather wing, to include all headquarters personnel, their equipment and operation center.  All SCIF space will be captured in Catcode 140422 SCIF.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</si>
  <si>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</si>
  <si>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</si>
  <si>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</si>
  <si>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</si>
  <si>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</si>
  <si>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</si>
  <si>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</si>
  <si>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Reconnaissance Photo Laboratory</t>
  </si>
  <si>
    <t>Photo Processing and Interpretation Facility Support Building</t>
  </si>
  <si>
    <t>Squadron Operations</t>
  </si>
  <si>
    <t>Embedded Software Integration Facility</t>
  </si>
  <si>
    <t>Technical Laboratory</t>
  </si>
  <si>
    <t>Integration Support Facility</t>
  </si>
  <si>
    <t>Depot Quality CONTR Laboratory</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</si>
  <si>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</si>
  <si>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</si>
  <si>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Terminal, Air Freight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</si>
  <si>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</si>
  <si>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Air Freight/Passenger Terminal</t>
  </si>
  <si>
    <t>Air Passenger Terminal</t>
  </si>
  <si>
    <t>Fleet Service Terminal</t>
  </si>
  <si>
    <t>Deploy Process Facility</t>
  </si>
  <si>
    <t>Consolidation/Containerization Point</t>
  </si>
  <si>
    <t>Material Processing Depot</t>
  </si>
  <si>
    <t>Re-Entry Vehicle Building</t>
  </si>
  <si>
    <t>Special Fuel Facility</t>
  </si>
  <si>
    <t>Missile Transfer Building</t>
  </si>
  <si>
    <t>RED HORSE Facilities</t>
  </si>
  <si>
    <t>RED HORSE</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</si>
  <si>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</si>
  <si>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Rescue Squadron</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</si>
  <si>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</si>
  <si>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</si>
  <si>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</si>
  <si>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</si>
  <si>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</si>
  <si>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</si>
  <si>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</si>
  <si>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Dispatch Building</t>
  </si>
  <si>
    <t>Scale House</t>
  </si>
  <si>
    <t>Safety Building</t>
  </si>
  <si>
    <t>Ready Building</t>
  </si>
  <si>
    <t>Overhead Protection</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</si>
  <si>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</si>
  <si>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Aircraft Sunshelter</t>
  </si>
  <si>
    <t>A covered but open shelter structure that protects aircraft from the sun. The sunshade itself is considered equipment. See also CCN 141181 - Aircraft Single, Environmental Protection Shelter.</t>
  </si>
  <si>
    <t>Space Surveillance Antenna</t>
  </si>
  <si>
    <t>Facilities typically support global space surveillance network, which detects, tracks, identifies, and catalogs man-made objects in space and provides position information on these objects.</t>
  </si>
  <si>
    <t>A rail yard used for the transfer and/or temporary holding of ammunition and explosive materials.</t>
  </si>
  <si>
    <t>Bunker</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</si>
  <si>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</si>
  <si>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</si>
  <si>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Missile Launch Facility</t>
  </si>
  <si>
    <t>Missile Guidance Station</t>
  </si>
  <si>
    <t>Wind Measuring Set</t>
  </si>
  <si>
    <t>Ceilometer Rotating Beacon</t>
  </si>
  <si>
    <t>Transmissometer</t>
  </si>
  <si>
    <t>This system measures and records relative light transmissively through the atmosphere along a given path between a projector and detector.</t>
  </si>
  <si>
    <t>Temperature-Dewpoint Measuring Set</t>
  </si>
  <si>
    <t>Digital Wind Measuring System</t>
  </si>
  <si>
    <t>Lightning Warning Set</t>
  </si>
  <si>
    <t>RADAR Meteorological Set, C-Band</t>
  </si>
  <si>
    <t>Central Wash Facility</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</si>
  <si>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</si>
  <si>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Cold Fog Dispersal System</t>
  </si>
  <si>
    <t>Missile Shaft Access</t>
  </si>
  <si>
    <t>Operations Support Shed</t>
  </si>
  <si>
    <t>Storage shed or other covered area used for operational support.  Not for weapons cleaning areas.</t>
  </si>
  <si>
    <t>Vehicle Test Track</t>
  </si>
  <si>
    <t>Control Tower</t>
  </si>
  <si>
    <t>RADAR Tower</t>
  </si>
  <si>
    <t>Observation Tower</t>
  </si>
  <si>
    <t>Special Tower</t>
  </si>
  <si>
    <t>Cargo Pier</t>
  </si>
  <si>
    <t>Liquid Fuel Unloading Pier</t>
  </si>
  <si>
    <t>Waterfront Improvements</t>
  </si>
  <si>
    <t>Warehouse, Transit Cargo</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</si>
  <si>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</si>
  <si>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</si>
  <si>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Harbor and Coastal Marine Improvements</t>
  </si>
  <si>
    <t>Armory</t>
  </si>
  <si>
    <t>Those facilities that are used for secured storage and the issue of all weapons. This catcode may be used when there is full-time staff assigned to the maintenance of weapons.</t>
  </si>
  <si>
    <t>Academic Lecture Hall</t>
  </si>
  <si>
    <t>Academic Exhibit Facility</t>
  </si>
  <si>
    <t>Training Natatorium</t>
  </si>
  <si>
    <t>TRN NATORM</t>
  </si>
  <si>
    <t>This is a training facility that contains an indoor pool and bath house, used for swimming training, fitness test preparation and assessment, underwater skills training, and other mission-related purposes.</t>
  </si>
  <si>
    <t>7422</t>
  </si>
  <si>
    <t>Band Center</t>
  </si>
  <si>
    <t>Flight Training Classroom</t>
  </si>
  <si>
    <t>Flight Simulator Training</t>
  </si>
  <si>
    <t>Physiological Training</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</si>
  <si>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</si>
  <si>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</si>
  <si>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</si>
  <si>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</si>
  <si>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</si>
  <si>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</si>
  <si>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</si>
  <si>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Celestial and Planetarium Navigational Training</t>
  </si>
  <si>
    <t>Reserve Forces General Training Support</t>
  </si>
  <si>
    <t>Reserve Forces Operational Training</t>
  </si>
  <si>
    <t>Reserve Forces Communications &amp; Electronic Training</t>
  </si>
  <si>
    <t>Reserve Forces Aeromedical Evacuation Training</t>
  </si>
  <si>
    <t>Reserve Component Medical Training</t>
  </si>
  <si>
    <t>Range CONTR House</t>
  </si>
  <si>
    <t>Range Supply and Equipment Storage</t>
  </si>
  <si>
    <t>Range Target Storage and Repair</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</si>
  <si>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</si>
  <si>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</si>
  <si>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</si>
  <si>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</si>
  <si>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</si>
  <si>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Training Aids Shop</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</si>
  <si>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</si>
  <si>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</si>
  <si>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Runway Supervisory Unit Building</t>
  </si>
  <si>
    <t>Runway Control Building</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</si>
  <si>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</si>
  <si>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</si>
  <si>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Technical Training Laboratory/Shop</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</si>
  <si>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</si>
  <si>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</si>
  <si>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AETC Technical Training Support</t>
  </si>
  <si>
    <t>Facility space required to directly support technical training AETC courses catcode 171621. Administration, training materials, supplies, staff and student break room are included and any other space not in a classroom.</t>
  </si>
  <si>
    <t>​This space is the administration and support for the technical training and should be accounted for separate from 171621.</t>
  </si>
  <si>
    <t>Launch Operations Training Facility</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</si>
  <si>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</si>
  <si>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</si>
  <si>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</si>
  <si>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</si>
  <si>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</si>
  <si>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Enlisted Professional Military Education Center</t>
  </si>
  <si>
    <t>This facility supports Professional Military Education (PME) courses. PME is a program designed to prepare Air Force and Space Force enlisted personnel for positions of leadership and management.</t>
  </si>
  <si>
    <t>Recruit Processing</t>
  </si>
  <si>
    <t>Basic Military Training</t>
  </si>
  <si>
    <t>Officer Training</t>
  </si>
  <si>
    <t>Air University Professional/Technical Education</t>
  </si>
  <si>
    <t>US Air Force Academy Academic Training</t>
  </si>
  <si>
    <t>Aerial Port Facility</t>
  </si>
  <si>
    <t>A/PORT FCLTY</t>
  </si>
  <si>
    <t>This facility provides for the training, warehouse, and cargo functions of an aerial port flight and squadron. Used in conjunction with catcode 610124 Squadron Headquarters for administrative functions and 144321, Box/Crate.</t>
  </si>
  <si>
    <t>1412</t>
  </si>
  <si>
    <t>Munitions Load Crew Training</t>
  </si>
  <si>
    <t>Gas Chamber</t>
  </si>
  <si>
    <t>Simulation Center</t>
  </si>
  <si>
    <t>Battle Labatory</t>
  </si>
  <si>
    <t>Other Covered Training Area</t>
  </si>
  <si>
    <t>Observation Tower/Bunker</t>
  </si>
  <si>
    <t>Land Navigational Course</t>
  </si>
  <si>
    <t>Field Training Area</t>
  </si>
  <si>
    <t>Maneuver/Training Area, Light Forces</t>
  </si>
  <si>
    <t>Maneuver/Training Area, Heavy Forces</t>
  </si>
  <si>
    <t>Impact Area Non-Dudded</t>
  </si>
  <si>
    <t>Impact Area Dudded</t>
  </si>
  <si>
    <t>Parade/Drill Field</t>
  </si>
  <si>
    <t>Basic 10M-25M Firing Range (ZERO)</t>
  </si>
  <si>
    <t>Automated Field Fire (AFF) Range</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</si>
  <si>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</si>
  <si>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</si>
  <si>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</si>
  <si>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Night Fire (Small Arms) Range</t>
  </si>
  <si>
    <t>Automated Night Fire (Small Arms) Range</t>
  </si>
  <si>
    <t>Known Distance (KD) Range</t>
  </si>
  <si>
    <t>Sniper Field Fire Range</t>
  </si>
  <si>
    <t>Automated Sniper Field Fire Range</t>
  </si>
  <si>
    <t>Combat Pistol/MP Firearms Qualification Course</t>
  </si>
  <si>
    <t>Machine Gun Field Fire Range</t>
  </si>
  <si>
    <t>40MM (Grenade) Machine Gun Qualification Range</t>
  </si>
  <si>
    <t>Light Antiarmor Weapons (LAW/AT-4) Range Subcaliber</t>
  </si>
  <si>
    <t>Light Antiarmor Weapons (LAW/AT-4) Range Live</t>
  </si>
  <si>
    <t>Field Artillery Direct Fire Range</t>
  </si>
  <si>
    <t>Tank/Fighting Vehicle Stationary Gunnery Range</t>
  </si>
  <si>
    <t>Mortar Range</t>
  </si>
  <si>
    <t>Field Artillery Indirect Fire Range</t>
  </si>
  <si>
    <t>Mortar Scaled Range</t>
  </si>
  <si>
    <t>Digital Multipurpose Training Range (DMPTR)</t>
  </si>
  <si>
    <t>Automated Multipurpose Training Range (MPTR)</t>
  </si>
  <si>
    <t>SCOUT/RECCE Gunnery Complex</t>
  </si>
  <si>
    <t>Infantry Squad Battle Course</t>
  </si>
  <si>
    <t>Urban Assault Course</t>
  </si>
  <si>
    <t>(Also see COMBAT IN CITIES FACILITY – 179621 – EA, and LIVE FIRE SHOOTHOUSE, 177622)</t>
  </si>
  <si>
    <t>Live Fire Exercise Shoothouse</t>
  </si>
  <si>
    <t>(Also see URBAN ASSAULT COURSE – 177621 – EA &amp; COMBAT IN CITIES – 179621 - EA)</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</si>
  <si>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</si>
  <si>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</si>
  <si>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</si>
  <si>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</si>
  <si>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Light Demolition Range</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</si>
  <si>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</si>
  <si>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</si>
  <si>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</si>
  <si>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Bayonet Assault Course</t>
  </si>
  <si>
    <t>Mine Warfare Area</t>
  </si>
  <si>
    <t>Target Detection Range (Nonfiring)</t>
  </si>
  <si>
    <t>Floating Bridge Site</t>
  </si>
  <si>
    <t>Training Area, Improved Land Base Training</t>
  </si>
  <si>
    <t>Prisoner Of War Training Area</t>
  </si>
  <si>
    <t>Wheeled Vehicle Drivers Course</t>
  </si>
  <si>
    <t>Driving Skills Training Course</t>
  </si>
  <si>
    <t>Combat Trail</t>
  </si>
  <si>
    <t>(Army calls this MILITARY STAKES)</t>
  </si>
  <si>
    <t>Rappelling Training Area</t>
  </si>
  <si>
    <t>Medium/Heavy Equipment Training Area</t>
  </si>
  <si>
    <t>POL Training Area</t>
  </si>
  <si>
    <t>Diving Tank</t>
  </si>
  <si>
    <t>Parachute Swing Training</t>
  </si>
  <si>
    <t>Aerial Gunnery Range</t>
  </si>
  <si>
    <t>Training Aids</t>
  </si>
  <si>
    <t>* SEE OBSTACLE COURSE, 179923, * SEE FIRE TRAINING FACILITY, 179511</t>
  </si>
  <si>
    <t>Small Arms Range System</t>
  </si>
  <si>
    <t>Machine Gun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</si>
  <si>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</si>
  <si>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(Also see 178121 Hand Grenade Familiarization Range (Live))</t>
  </si>
  <si>
    <t>Range, Aircraft</t>
  </si>
  <si>
    <t>(Bombing Ranges)</t>
  </si>
  <si>
    <t>Fireman Training Facility</t>
  </si>
  <si>
    <t>An enclosed facility that houses interior and exterior  mockups of areas within a surface ship, submarine, or multistory building for live-fire fighting and rescue training.</t>
  </si>
  <si>
    <t>1726</t>
  </si>
  <si>
    <t>Combat In Cities Facility</t>
  </si>
  <si>
    <t>Also See 177621, Urban Assault Course and Live Fire Exercise Shoot House – 177622 – EA</t>
  </si>
  <si>
    <t>Hand Grenade Accuracy Course (Nonfiring)</t>
  </si>
  <si>
    <t>(Also See 178121, Hand Grenade Familiarization Range (Live) and 179477, Grenade Launcher Range)</t>
  </si>
  <si>
    <t>Hand Grenade Qualification Course (Nonfiring)</t>
  </si>
  <si>
    <t>(Also see 178121 Hand Grenade Familiarization Range (Live), 179723 Hand Grenade Accuracy Course (Nonfiring), and 179477, Grenade Launcher Range)</t>
  </si>
  <si>
    <t>Infiltration Course</t>
  </si>
  <si>
    <t>(Also see 179024, Prisoner Of War Training Area)</t>
  </si>
  <si>
    <t>Confidence Course</t>
  </si>
  <si>
    <t>Leadership Reaction Course</t>
  </si>
  <si>
    <t>Obstacle Course</t>
  </si>
  <si>
    <t>(Also see 179921 Confidence Course)</t>
  </si>
  <si>
    <t>Hangar, Maintenance</t>
  </si>
  <si>
    <t>Hangar, Maintenance Depot</t>
  </si>
  <si>
    <t>Building, Aircraft Weapons Calibration</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</si>
  <si>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</si>
  <si>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</si>
  <si>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</si>
  <si>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Shop, Non-Destructive Inspection</t>
  </si>
  <si>
    <t>Shop, Aircraft Maintenance, Organizational</t>
  </si>
  <si>
    <t>OMS – Organizational Maintenance Shop</t>
  </si>
  <si>
    <t>Shop, Jet Engine Inspection and Maintenance</t>
  </si>
  <si>
    <t>AFMC = AF MATERIAL COMMAND/1M</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</si>
  <si>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</si>
  <si>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</si>
  <si>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Corrosion CONTR Utility Storage</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</si>
  <si>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</si>
  <si>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</si>
  <si>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</si>
  <si>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Test Cell</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</si>
  <si>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</si>
  <si>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</si>
  <si>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Shop, Turbine Depot</t>
  </si>
  <si>
    <t>Shop, RAM/Air Depot</t>
  </si>
  <si>
    <t>Shop, Alternator Drive Overhaul and Test Depot</t>
  </si>
  <si>
    <t>Shop, Aircraft and Engine Access Overhaul Depot</t>
  </si>
  <si>
    <t>Shop, Engine Test and Storage Depot</t>
  </si>
  <si>
    <t>Shop, Instrument Overhaul Depot</t>
  </si>
  <si>
    <t>Maintenance Aircraft Spares / Storage</t>
  </si>
  <si>
    <t>Shop, Missile Assembly</t>
  </si>
  <si>
    <t>Shop, Tactical Missile, Glide Weapon Maintenance</t>
  </si>
  <si>
    <t>This Facility accommodates missile and guided weapons inspections, Testing, assembly and repair, Test and ground support equipment inspection, calibration, and repair.</t>
  </si>
  <si>
    <t>Shop, Missile Run-Up</t>
  </si>
  <si>
    <t>Shop, Missile Service</t>
  </si>
  <si>
    <t>Shop, Missile Warhead Assembly and Maintenance</t>
  </si>
  <si>
    <t>Shop, Missile Battery</t>
  </si>
  <si>
    <t>This category code identifies those areas used to service and maintain batteries for launch control facilities (LCF) and Launch Facility (LF) back-up generators.</t>
  </si>
  <si>
    <t>Integrated Maintenance Facility</t>
  </si>
  <si>
    <t>Shop, Pilotless Aircraft</t>
  </si>
  <si>
    <t>Boat Storage</t>
  </si>
  <si>
    <t>Shop, Marine Maintenance</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</si>
  <si>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</si>
  <si>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</si>
  <si>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</si>
  <si>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</si>
  <si>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</si>
  <si>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</si>
  <si>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</si>
  <si>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</si>
  <si>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</si>
  <si>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</si>
  <si>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</si>
  <si>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Vehicle Operations Garage</t>
  </si>
  <si>
    <t>VEH OPS GRG</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</si>
  <si>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</si>
  <si>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Vehicle Operations Parking Shed</t>
  </si>
  <si>
    <t>(Also see OVERHEAD PROTECTION, 145921)</t>
  </si>
  <si>
    <t>Refueling Vehicle Hardened Shelters</t>
  </si>
  <si>
    <t>Shop, Refueling Vehicle</t>
  </si>
  <si>
    <t>Transporter/Erector Test Facility</t>
  </si>
  <si>
    <t>Shop, Weapons and Release Systems</t>
  </si>
  <si>
    <t>Shop, Aircraft Weapons Overhaul Depot</t>
  </si>
  <si>
    <t>Shop, Ordnance Equipment, Depot</t>
  </si>
  <si>
    <t>Shop, Cartridge Overhaul Depot</t>
  </si>
  <si>
    <t>Shop, Surveillance and Inspection</t>
  </si>
  <si>
    <t>Facility designed specifically for the purpose of initial assembly, checkout, periodic inspection, and maintenance of surety weapons, missiles, and electronoptic and laser bomb guidance kits.</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</si>
  <si>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</si>
  <si>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</si>
  <si>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Collimation Tower</t>
  </si>
  <si>
    <t>Collimation facilities are required at shipyards for electronic and optical alignment of fire control and radar equipment aboard ships.</t>
  </si>
  <si>
    <t>Shop, Avionics</t>
  </si>
  <si>
    <t>ECM Pod Shop and Storage</t>
  </si>
  <si>
    <t>Shop, ICBM/Tactical Air CONTR Communications Electronics</t>
  </si>
  <si>
    <t>Shop, Electrical Overhaul and Test Depot</t>
  </si>
  <si>
    <t>RADOME Overhaul &amp; Test Depot</t>
  </si>
  <si>
    <t>Air Force Communications Service Maintenance Facility</t>
  </si>
  <si>
    <t>Shop, Meteorological Equipment</t>
  </si>
  <si>
    <t>Shop, Navigational Aids</t>
  </si>
  <si>
    <t>Shop, Range Warning System Communications-Electronics</t>
  </si>
  <si>
    <t>General Item Repair Shop, DOL/DPW/IMMA/IMMD</t>
  </si>
  <si>
    <t>Maintenance Shop, General Purpose</t>
  </si>
  <si>
    <t>Installation SPT Equipment Maintenance Shop</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</si>
  <si>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</si>
  <si>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</si>
  <si>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</si>
  <si>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Shop, Furniture Repair Overseas</t>
  </si>
  <si>
    <t>Shop and Shelter for Locomotives</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</si>
  <si>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</si>
  <si>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</si>
  <si>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Precision Measurement Equipment Lab</t>
  </si>
  <si>
    <t xml:space="preserve">Base Engineer Horizontal Construction Facility </t>
  </si>
  <si>
    <t>Base Engineer Maintenance Shop</t>
  </si>
  <si>
    <t>Base Engineer Hospital Maintenance Shop</t>
  </si>
  <si>
    <t>Base Engineer Covered Storage Facility</t>
  </si>
  <si>
    <t>Base Engineer Storage Shed</t>
  </si>
  <si>
    <t>Production Aircraft</t>
  </si>
  <si>
    <t>Production Engines</t>
  </si>
  <si>
    <t>Production Missiles</t>
  </si>
  <si>
    <t>Production Armament Explosives</t>
  </si>
  <si>
    <t>Production Electronics and Communication Equipment</t>
  </si>
  <si>
    <t>Production Space Systems</t>
  </si>
  <si>
    <t>Production Miscellaneous Items and Equipment</t>
  </si>
  <si>
    <t>Asphalt Plant</t>
  </si>
  <si>
    <t>Concrete Plant</t>
  </si>
  <si>
    <t>Oxygen Generating Plant</t>
  </si>
  <si>
    <t>Rock Crusher Plant</t>
  </si>
  <si>
    <t>Wildlife Observation Building</t>
  </si>
  <si>
    <t>An enclosed building used to observe and record fish and wildlife activities. The building may include equipment such as fish ladders, a fish hatchery, and so on.</t>
  </si>
  <si>
    <t>Physics, Science Laboratories</t>
  </si>
  <si>
    <t>Sonic, Science Laboratories</t>
  </si>
  <si>
    <t>Astrophysics Science Laboratories</t>
  </si>
  <si>
    <t>Personnel Research, Science Laboratories</t>
  </si>
  <si>
    <t>Chemistry Science Laboratories</t>
  </si>
  <si>
    <t>Ground Electronics Science Laboratories</t>
  </si>
  <si>
    <t>Nucleonic, Science Laboratories</t>
  </si>
  <si>
    <t>Geophysics Science Laboratories</t>
  </si>
  <si>
    <t>Medical, Science Laboratories</t>
  </si>
  <si>
    <t>Human Engineering Science Laboratories</t>
  </si>
  <si>
    <t>Solar Science Laboratories</t>
  </si>
  <si>
    <t>Radiation, Science Laboratories</t>
  </si>
  <si>
    <t>Aerospace Environment Science Laboratory</t>
  </si>
  <si>
    <t>Dynamics Environment Science Laboratories</t>
  </si>
  <si>
    <t>Meteorology, Science Laboratories</t>
  </si>
  <si>
    <t>Civil Engineering Science Laboratories</t>
  </si>
  <si>
    <t>Biological Science Laboratories</t>
  </si>
  <si>
    <t>Laser, Science Laboratories</t>
  </si>
  <si>
    <t>Avionics, Science Laboratories</t>
  </si>
  <si>
    <t>Materials, Science Laboratories</t>
  </si>
  <si>
    <t>Nuclear Engineering Test Building</t>
  </si>
  <si>
    <t>Aircraft Dynamic Research Engineering</t>
  </si>
  <si>
    <t>Aircraft Dynamic Research Test</t>
  </si>
  <si>
    <t>Aircraft Research Laboratory</t>
  </si>
  <si>
    <t>Aircraft Research Engineering</t>
  </si>
  <si>
    <t>Aircraft Research and Testing</t>
  </si>
  <si>
    <t>Missile and Space Research laboratories</t>
  </si>
  <si>
    <t>Missile and Space Research Engineering</t>
  </si>
  <si>
    <t>Missile and Space Research Testing</t>
  </si>
  <si>
    <t>Satellite CONTR Station</t>
  </si>
  <si>
    <t>Armament Research Ballistic Laboratory</t>
  </si>
  <si>
    <t>Armament Research Engineering</t>
  </si>
  <si>
    <t>Armament Research Testing</t>
  </si>
  <si>
    <t>Weapons Guidance Laboratory</t>
  </si>
  <si>
    <t>Ammunition, Explosives, and Toxics Laboratory</t>
  </si>
  <si>
    <t>Electronic Research Laboratory</t>
  </si>
  <si>
    <t>Electronic Research and Engineering</t>
  </si>
  <si>
    <t>Electronic Research and Testing</t>
  </si>
  <si>
    <t>Avionics Research Laboratory</t>
  </si>
  <si>
    <t>Propulsion Research Lab-Air Breathing</t>
  </si>
  <si>
    <t>Propulsion Research Lab, Non Air Breathing</t>
  </si>
  <si>
    <t>Propulsion Research Lab, Electric</t>
  </si>
  <si>
    <t>Propulsion Research Lab, Fuel and Lubricants</t>
  </si>
  <si>
    <t>RDT&amp;E Storage</t>
  </si>
  <si>
    <t>This building is a storage facility for research, development, test, and evaluation equipment and materials directly related to RDAT&amp;E programs.</t>
  </si>
  <si>
    <t>Equipment Research Laboratory</t>
  </si>
  <si>
    <t>Equipment Research Engineering</t>
  </si>
  <si>
    <t>Equipment Research Testing</t>
  </si>
  <si>
    <t>Material Research Test Laboratory</t>
  </si>
  <si>
    <t>Test Track Building</t>
  </si>
  <si>
    <t>Research Equipment Storage</t>
  </si>
  <si>
    <t>Prototype Model Construction and Assembly</t>
  </si>
  <si>
    <t>RDT&amp;E Range Building</t>
  </si>
  <si>
    <t>RDT&amp;E RANGE BULDING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</si>
  <si>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</si>
  <si>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</si>
  <si>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Missile RADAR Station</t>
  </si>
  <si>
    <t>Missile Theodolite Station</t>
  </si>
  <si>
    <t>Facility or group of related facilities designed for optical tracking and recording of launched missile systems.  AFMC is the primary user.</t>
  </si>
  <si>
    <t>Missile Communications Station</t>
  </si>
  <si>
    <t>Facility or group of related facilities designed for two-way voice or telemetry communications and recording of operational missile or satellite systems.  AFMC is the primary user.</t>
  </si>
  <si>
    <t>Test Range Complex</t>
  </si>
  <si>
    <t>Aerodynamics Wind Tunnel, Subsonic</t>
  </si>
  <si>
    <t>Aerodynamics Wind Tunnel, Supersonic</t>
  </si>
  <si>
    <t>Aerodynamics Wind Tunnel, Transonic</t>
  </si>
  <si>
    <t>Aerodynamics Wind Tunnel, Hypersonic</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</si>
  <si>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</si>
  <si>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</si>
  <si>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</si>
  <si>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Aircraft Research Testing</t>
  </si>
  <si>
    <t>Research Development Test and Evaluation Range</t>
  </si>
  <si>
    <t>RDT&amp;E RANGE A range for research, development, and testing operations. Report the area of the range in acres, including the uprange and downrange to the last line of targets between the range boundaries.</t>
  </si>
  <si>
    <t>Armament Research Testing, Structural</t>
  </si>
  <si>
    <t>Electronic Research RADAR</t>
  </si>
  <si>
    <t>Electronic Research NAVAID</t>
  </si>
  <si>
    <t>Missile Launch Test Facility</t>
  </si>
  <si>
    <t>Facility or group of facilities where research, development and launching of drones is accomplished.  AFMC is the primary user.</t>
  </si>
  <si>
    <t>Missile Landing Test Facility</t>
  </si>
  <si>
    <t>Missile Storage, Fuel</t>
  </si>
  <si>
    <t>Specialized High Speed Test Track</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</si>
  <si>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</si>
  <si>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</si>
  <si>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​FAC Code is 3905-Specialized Aerodynamic RDT&amp;E Facility.  This FAC is new and does not have PUC, SUC, Upper limit, or Reset Values information yet.</t>
  </si>
  <si>
    <t>Specialized Aerodynamic RDT&amp;E Facility</t>
  </si>
  <si>
    <t>Propulsion Engine Testing, Fuel Systems</t>
  </si>
  <si>
    <t>Propulsion Engine Test Stand</t>
  </si>
  <si>
    <t>Propulsion Engine Test Cell</t>
  </si>
  <si>
    <t>Test Track</t>
  </si>
  <si>
    <t>Research Communication Station Complex</t>
  </si>
  <si>
    <t>Demineralized Water Storage</t>
  </si>
  <si>
    <t>(BL / 42 = GA)</t>
  </si>
  <si>
    <t>Storage Water/Alcohol</t>
  </si>
  <si>
    <t>SEE AFH 32-1084 FOR CRITERIA.</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</si>
  <si>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</si>
  <si>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</si>
  <si>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</si>
  <si>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</si>
  <si>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</si>
  <si>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</si>
  <si>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</si>
  <si>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</si>
  <si>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</si>
  <si>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</si>
  <si>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</si>
  <si>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</si>
  <si>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</si>
  <si>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</si>
  <si>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</si>
  <si>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</si>
  <si>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</si>
  <si>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Storage Special Fuels - Above Ground</t>
  </si>
  <si>
    <t>Above ground bulk fuel tanks designed for storage of liquid chemicals in bulk.</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</si>
  <si>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</si>
  <si>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</si>
  <si>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</si>
  <si>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POL - Cut-and-Cover Bulk Liquid Fuel Storage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</si>
  <si>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</si>
  <si>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</si>
  <si>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</si>
  <si>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</si>
  <si>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</si>
  <si>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</si>
  <si>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</si>
  <si>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</si>
  <si>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</si>
  <si>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</si>
  <si>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</si>
  <si>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</si>
  <si>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</si>
  <si>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</si>
  <si>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</si>
  <si>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</si>
  <si>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</si>
  <si>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</si>
  <si>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</si>
  <si>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</si>
  <si>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</si>
  <si>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</si>
  <si>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</si>
  <si>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</si>
  <si>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</si>
  <si>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AMMO SHED</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</si>
  <si>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</si>
  <si>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</si>
  <si>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</si>
  <si>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</si>
  <si>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</si>
  <si>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Storage, Rocket Checkout and Assembly</t>
  </si>
  <si>
    <t>Storage Segregated Magazine</t>
  </si>
  <si>
    <t>Storage Magazine Above Ground TYPE A, B, &amp; C</t>
  </si>
  <si>
    <t>Missile Storage Facility</t>
  </si>
  <si>
    <t>Storage Igloo</t>
  </si>
  <si>
    <t>Inert Spares Storage</t>
  </si>
  <si>
    <t>Storage, Module Barricaded</t>
  </si>
  <si>
    <t>Storage Igloo Steel Arch Underpass</t>
  </si>
  <si>
    <t>Ancillary Explosives Facility</t>
  </si>
  <si>
    <t>Open Ammunition Storage</t>
  </si>
  <si>
    <t>Cold Storage, Base</t>
  </si>
  <si>
    <t>(CLIMATE CONTROLLED SPACE, USUALLY REFRIGERATED)</t>
  </si>
  <si>
    <t>General Purpose Warehouse</t>
  </si>
  <si>
    <t>A facility used as an general warehouse.</t>
  </si>
  <si>
    <t>Hazardous Storage Depot</t>
  </si>
  <si>
    <t>Shed Supplies and Equipment Depot</t>
  </si>
  <si>
    <t>Warehouse Supplies and Equipment Depot</t>
  </si>
  <si>
    <t>Base Hazardous Storage</t>
  </si>
  <si>
    <t>Controlled Humidity Warehouse</t>
  </si>
  <si>
    <t>Storage Silo</t>
  </si>
  <si>
    <t>Base Supply and Equipment Shed</t>
  </si>
  <si>
    <t>Warehouse Supply and Equipment Base</t>
  </si>
  <si>
    <t>Warehouse, Troop Subsistence</t>
  </si>
  <si>
    <t>Warehouse, Forms and Publications, Base</t>
  </si>
  <si>
    <t>Housing Supplies and Storage Facility</t>
  </si>
  <si>
    <t>Open Storage Area</t>
  </si>
  <si>
    <t>This category group consists of non-covered storage areas, paved or otherwise established, for storage of general supply materials.</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</si>
  <si>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</si>
  <si>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</si>
  <si>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</si>
  <si>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Base Civil Engineer Open Storage</t>
  </si>
  <si>
    <t>Open Storage, Air Freight/Traffic Management Surface Freight</t>
  </si>
  <si>
    <t>This facility supports and normally a joins the air freight and the traffic management facility.  It consists of a fenced, paved and lighted storage yard.  See AFH 32-1084 for criteria.</t>
  </si>
  <si>
    <t>Open Storage, Research and Development</t>
  </si>
  <si>
    <t>Composite Medical Facility</t>
  </si>
  <si>
    <t>Medical Command and Administration</t>
  </si>
  <si>
    <t>(USUALLY AT A HOSPITAL)</t>
  </si>
  <si>
    <t>Medical/Dental Education and Training</t>
  </si>
  <si>
    <t>Pathology</t>
  </si>
  <si>
    <t>(MEDICAL LABORATORY)</t>
  </si>
  <si>
    <t>Pharmacy</t>
  </si>
  <si>
    <t>(MAY BE A STAND ALONE FACILITY OR PART OF A HOSPITAL OR CLINIC)</t>
  </si>
  <si>
    <t>Physical Therapy</t>
  </si>
  <si>
    <t>CAN BE FOUND IN HEALTH AND WELFARE CLINICS (HAWC)</t>
  </si>
  <si>
    <t>Radiology</t>
  </si>
  <si>
    <t>XR = NUMBER OF X-RAY MACHINES IN THE FACILITY</t>
  </si>
  <si>
    <t>Aerospace Medicine</t>
  </si>
  <si>
    <t>Environmental Health</t>
  </si>
  <si>
    <t>Food Service</t>
  </si>
  <si>
    <t>Ambulance Shelter</t>
  </si>
  <si>
    <t>(ESSENTIALLY A GARAGE OR COVERED CARPORT FOR AMBULANCES)</t>
  </si>
  <si>
    <t>Nursing Services</t>
  </si>
  <si>
    <t>Aeromedical Staging Facility</t>
  </si>
  <si>
    <t>Obstetrical Service</t>
  </si>
  <si>
    <t>Air Force Clinic</t>
  </si>
  <si>
    <t>Surgical Service</t>
  </si>
  <si>
    <t>Hospital Central Sterilization</t>
  </si>
  <si>
    <t>Patient Welfare</t>
  </si>
  <si>
    <t>Medical space used for the convenience of patients while in the hospital to include: Red Cross, base exchange, chaplain, patient library and lounge.</t>
  </si>
  <si>
    <t>(USUALLY IN A HOSPITAL)</t>
  </si>
  <si>
    <t>Blood Processing Laboratory</t>
  </si>
  <si>
    <t>Drug Abuse Detection Laboratory</t>
  </si>
  <si>
    <t>Occupational Environmental Health Laboratory</t>
  </si>
  <si>
    <t>Biosafety Laboratory Level 4</t>
  </si>
  <si>
    <t>Clinical Laboratory Epidemiological</t>
  </si>
  <si>
    <t>Materials Services (Medical Logistics)</t>
  </si>
  <si>
    <t>(MEDICAL WAREHOUSE)</t>
  </si>
  <si>
    <t>Medical Food Inspection</t>
  </si>
  <si>
    <t>(VETERINARY FACILITY)</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</si>
  <si>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</si>
  <si>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</si>
  <si>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</si>
  <si>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Dental Clinic</t>
  </si>
  <si>
    <t>OU = OUTLET (NUMBER OF DENTAL CHAIRS AND ASSOCIATED EQUIPMENT)</t>
  </si>
  <si>
    <t>Outpatient Ambulatory Care Clinic</t>
  </si>
  <si>
    <t>Occupational Health Clinic</t>
  </si>
  <si>
    <t>Medical Aid Station</t>
  </si>
  <si>
    <t>Administrative Office, Misc</t>
  </si>
  <si>
    <t>This facility accommodates administrative areas or functions not covered in other category codes available.</t>
  </si>
  <si>
    <t>(FOR THE PURPOSES OF CLIENT DEFENSE- do not co-locate with Law Center offices.)</t>
  </si>
  <si>
    <t>Law Center</t>
  </si>
  <si>
    <t>Could also have a law library.  (FOR THE PROSECUTION OF THE DEFENDANT)  Do not co-locate with Area Defense Council offices.</t>
  </si>
  <si>
    <t>Family Housing Management Office</t>
  </si>
  <si>
    <t>Vehicle Operations Administration</t>
  </si>
  <si>
    <t>Facility designed for use as the operational center of the base motor pool. Functional space areas include locker room, latrines, driver's ready room, dispatcher, administrative space, and a driver</t>
  </si>
  <si>
    <t>(CAN BE CO-LOCATED WITH VEHICLE MAINTANENCE CENTERS)</t>
  </si>
  <si>
    <t>Base Supply Administration</t>
  </si>
  <si>
    <t>Air Force Plant Administration Office</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</si>
  <si>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</si>
  <si>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</si>
  <si>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(ARMY/MARINE)</t>
  </si>
  <si>
    <t>Company Headquarters BLDG - Transient Training</t>
  </si>
  <si>
    <t>Base Engineer Administration</t>
  </si>
  <si>
    <t>Facility designed for use as the principal administrative offices of the Base Civil Engineer. Functional space areas include the Squadron Commander's Office suite, squadron administration, programming,</t>
  </si>
  <si>
    <t>Base Personnel Office</t>
  </si>
  <si>
    <t>(CAN BE A SUBSET OF A MISSION SUPPORT GROUP BUILDING OR A SEPARATE FACILITY)</t>
  </si>
  <si>
    <t>Weapon System Maintenance Management Facility</t>
  </si>
  <si>
    <t>Traffic Management Facility</t>
  </si>
  <si>
    <t>(TMO – TRAFFIC MANAGEMENT OFFICE)</t>
  </si>
  <si>
    <t>Munitions Maintenance Administration</t>
  </si>
  <si>
    <t>Orderly Room in Dormitory</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</si>
  <si>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</si>
  <si>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</si>
  <si>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Wing Headquarters</t>
  </si>
  <si>
    <t>This facility houses staff offices for headquarters of operational wings, air base wings, training wings, Space Base Delta, and Space Launch Delta. It provides administrative and support space, including the wing/delta staff agencies.</t>
  </si>
  <si>
    <t>Headquarters Center</t>
  </si>
  <si>
    <t>Headquarters Air Force/Space Force</t>
  </si>
  <si>
    <t>HQ AF/SF</t>
  </si>
  <si>
    <t>Facilities occupied by Headquarters staff offices of  Air Force and Space Force, including field extensions. It also applies to the Headquarters of AF Forward Operating Agencies (FOAs) and AF Direct Reporting Units (DRUs).</t>
  </si>
  <si>
    <t>Headquarters Major Command/Field Command</t>
  </si>
  <si>
    <t>HQ MAJOR COMD/FLD COMD</t>
  </si>
  <si>
    <t>This facility houses administrative offices for the Air Force Major Command (MAJCOM) and Space Force Field Commands (FLDCOM) headquarters, including any field extensions.</t>
  </si>
  <si>
    <t>Headquarters Numbered Air Force</t>
  </si>
  <si>
    <t>Headquarters Named/Numbered Division</t>
  </si>
  <si>
    <t>Headquarters Specified</t>
  </si>
  <si>
    <t>Facility designed to accommodate staff offices comprising other headquarters designations such as  Joint Combatant Commands and their service components.</t>
  </si>
  <si>
    <t>Documentation Staging Facility</t>
  </si>
  <si>
    <t>Farm Facility</t>
  </si>
  <si>
    <t>Logistics Facility Depot Operations</t>
  </si>
  <si>
    <t>Data Processing Installation</t>
  </si>
  <si>
    <t>Printing Plant</t>
  </si>
  <si>
    <t>Plant Reproduction</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</si>
  <si>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</si>
  <si>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</si>
  <si>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Administrative Office, Non Air Force</t>
  </si>
  <si>
    <t>Equal Opportunity Facility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</si>
  <si>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</si>
  <si>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Emergency Management</t>
  </si>
  <si>
    <t>EMERG MGT</t>
  </si>
  <si>
    <t>Facility for the administration and training installation's populace on chemical, biological, radiological, and nuclear defense, installation incident management, and emergency response operations. The EOC is classified under CC 140421 - Emergency Operations Center.</t>
  </si>
  <si>
    <t>Office of Special Investigations</t>
  </si>
  <si>
    <t>Facility designed for secure administrative and support areas which are required for conducting special investigations. This includes the regional and special program detachments.</t>
  </si>
  <si>
    <t>The primary responsibilities of the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</si>
  <si>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Victim Counsel (VC)</t>
  </si>
  <si>
    <t>Facility that is manned by a special team to focus on prosecution, supporting sexual assault victims.</t>
  </si>
  <si>
    <t>Administrative Structure, Underground</t>
  </si>
  <si>
    <t>Billboard</t>
  </si>
  <si>
    <t>​</t>
  </si>
  <si>
    <t>Flag Pole</t>
  </si>
  <si>
    <t>Troop Shelter</t>
  </si>
  <si>
    <t>(FALLOUT/AIR RAID SHELTERS) 690625 </t>
  </si>
  <si>
    <t>Covered Review Stand</t>
  </si>
  <si>
    <t>(PERMANENTLY INSTALLED; DOES NOT INCLUDE MOVEABLE BLEACHERS/CANOPIES)</t>
  </si>
  <si>
    <t>Open Review Stand</t>
  </si>
  <si>
    <t>This facility is used by reviewing authorities when performing a formal inspection of an organization. This facility is not covered.</t>
  </si>
  <si>
    <t>Kennel, Stray Animal</t>
  </si>
  <si>
    <t>Family Housing Capehart</t>
  </si>
  <si>
    <t>Family Housing Wherry</t>
  </si>
  <si>
    <t>Family Housing Lanham</t>
  </si>
  <si>
    <t>Family Housing Appropriated FY 70 and After</t>
  </si>
  <si>
    <t>Family Housing Appropriated FY 50 - 69</t>
  </si>
  <si>
    <t>Family Housing Appropriated Pre FY 1950</t>
  </si>
  <si>
    <t>Family Housing Surplus Commodity</t>
  </si>
  <si>
    <t>Family Housing Deutchmark</t>
  </si>
  <si>
    <t>USAFE</t>
  </si>
  <si>
    <t>Family Housing YEN</t>
  </si>
  <si>
    <t>PACAF</t>
  </si>
  <si>
    <t>Family Housing Other</t>
  </si>
  <si>
    <t>Family Housing Relocatable</t>
  </si>
  <si>
    <t>(Similar to Family Housing USA 711231)</t>
  </si>
  <si>
    <t>Family Housing Rental Guarantee</t>
  </si>
  <si>
    <t>Family Housing Leased</t>
  </si>
  <si>
    <t>Family Housing USA</t>
  </si>
  <si>
    <t>(Similar to711181 Family Housing Relocatable)</t>
  </si>
  <si>
    <t>Family Housing Attached Garage</t>
  </si>
  <si>
    <t>Family Housing Attached Carport</t>
  </si>
  <si>
    <t>Carports attached to military family housing units.</t>
  </si>
  <si>
    <t>Family Housing High Rise</t>
  </si>
  <si>
    <t>A building equal to, or greater in height than 7 stories above ground, which contains family housing units/apartments. Associated space may include lobby, multipurpose room, restrooms, elevator banks, utility/control rooms, emergency generators.</t>
  </si>
  <si>
    <t>Mobile Home Court Support Facility</t>
  </si>
  <si>
    <t>Mobile Home Court Parking Area</t>
  </si>
  <si>
    <t>Family-Housing -Other Detached Facilities</t>
  </si>
  <si>
    <t>Minor detached buildings and facilities directly relating to a particular family dwelling.</t>
  </si>
  <si>
    <t>Garage, Family Housing, Detached</t>
  </si>
  <si>
    <t>Family Housing Detached Carport</t>
  </si>
  <si>
    <t>Family Housing Detached Storage</t>
  </si>
  <si>
    <t>(DOES NOT INCLUDE “TUFF SHEDS” OR OTHER PORTABLE BUILDINGS USED FOR STORAGE)</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</si>
  <si>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</si>
  <si>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</si>
  <si>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Federal Prison Facility</t>
  </si>
  <si>
    <t>Transient UPH, Advanced Individual Trainees (AIT), Unaccompanied Housing</t>
  </si>
  <si>
    <t>Unaccompanied Housing for personnel attending MOS producing schools at locations other than Army training centers.</t>
  </si>
  <si>
    <t>(ARMY)</t>
  </si>
  <si>
    <t>Dining Hall in Airman Dormitory</t>
  </si>
  <si>
    <t>Dormitory, Recruits</t>
  </si>
  <si>
    <t>Dormitory Airman Permanent Party/PCS-Student</t>
  </si>
  <si>
    <t>Technical Training Student Housing</t>
  </si>
  <si>
    <t>Dormitory, Unaccompanied Noncommissioned Officers (NCO)</t>
  </si>
  <si>
    <t>Dormitory Visiting Airman Quarters</t>
  </si>
  <si>
    <t>Dormitory Unaccompanied - Wounded Warriors</t>
  </si>
  <si>
    <t>Transient UPH, Advanced Individual Trainees (AIT), Barracks</t>
  </si>
  <si>
    <t>Barracks for students attending MOS-producing schools at locations other than Army training centers. Use catcode 72181, Trainee Barracks, at Army training center locations.</t>
  </si>
  <si>
    <t> UPH = UNACCOMPANIED PERSONNEL HOUSING</t>
  </si>
  <si>
    <t>Transient UPH, Advanced Skills Trainees (AST)</t>
  </si>
  <si>
    <t>Unaccompanied Personnel Quarters (Mobilization, Exercise, and Disaster Response)</t>
  </si>
  <si>
    <t>Fast Food Service</t>
  </si>
  <si>
    <t>Airman Dining Halls (Detached)</t>
  </si>
  <si>
    <t>Officers Dining Halls (Detached)</t>
  </si>
  <si>
    <t>Garage Automobile</t>
  </si>
  <si>
    <t>UEPH = Unaccompanied Enlisted Personnel Housing</t>
  </si>
  <si>
    <t>Kitchen, Central Preparation</t>
  </si>
  <si>
    <t>Flight Kitchen</t>
  </si>
  <si>
    <t>Sanitary Latrine</t>
  </si>
  <si>
    <t>Carport, UPH</t>
  </si>
  <si>
    <t>A covered structure for parking privately owned vehicles (POVs) in proximity to unaccompanied personnel housing areas.</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</si>
  <si>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</si>
  <si>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</si>
  <si>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</si>
  <si>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</si>
  <si>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</si>
  <si>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(ALSO CALLED BOQ-- BACHELOR OFFICERS QUARTERS)</t>
  </si>
  <si>
    <t>Visiting Officer's Quarters</t>
  </si>
  <si>
    <t>Cadet Quarters</t>
  </si>
  <si>
    <t>Housing - Emergency Building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</si>
  <si>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</si>
  <si>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Tent Pad</t>
  </si>
  <si>
    <t>Civilian Camp</t>
  </si>
  <si>
    <t>(Blackwater contractor for example.)</t>
  </si>
  <si>
    <t>Camp Troop</t>
  </si>
  <si>
    <t>The facility is designed to accommodate fire protection vehicles, equipment, and personnel from the base fire department. It can support both airfield operations and structural response on base. This facility can be used for just structural response in community areas.  The facility includes truck bays, a radio dispatch area, vehicle maintenance and storage areas, repair and supply support, as well as administrative and training spaces.</t>
  </si>
  <si>
    <t>Fire Observation Tower and Comm Center</t>
  </si>
  <si>
    <t>A building is to support the  fire and emergency rescue protection for pilots and aircraft. This facility supports the fire station, 141101 Airfield Fire and Rescue Station</t>
  </si>
  <si>
    <t>Fire Hose House</t>
  </si>
  <si>
    <t>A fire lookout station is a facility designed for observing remote forested areas to detect and report potential fires. These facilities, often situated in secluded locations, provide a vantage point for monitoring forested areas. A station includes an observation tower and living quarters for the resident forester and their family. </t>
  </si>
  <si>
    <t>Bakery</t>
  </si>
  <si>
    <t>Kitchen Pastry</t>
  </si>
  <si>
    <t>Bus Shelter</t>
  </si>
  <si>
    <t>Post Office</t>
  </si>
  <si>
    <t>Laundry-Dry Cleaning, Base</t>
  </si>
  <si>
    <t>SEE CATCODE 730711, BASE LAUNDRY</t>
  </si>
  <si>
    <t>Base Dry Cleaning</t>
  </si>
  <si>
    <t>Above Ground Tornado Shelter</t>
  </si>
  <si>
    <t>An enclosed, reinforced facility, generally within or beneath an existing building that provides protection against air attack, fallout, severe storms or other life-threatening events</t>
  </si>
  <si>
    <t>Base Laundry</t>
  </si>
  <si>
    <t>Depot Laundry</t>
  </si>
  <si>
    <t>Clothing Store</t>
  </si>
  <si>
    <t>(USE FOR MILITARY CLOTHING STORE)</t>
  </si>
  <si>
    <t>Privately Owned Vehicle Inspection Station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</si>
  <si>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</si>
  <si>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Chapel, Base</t>
  </si>
  <si>
    <t>This facility includes narthex, ark, chancel with alter, pulpit, lectern, Sedalia, nave, choir with pews, nave with pews, pew screens, choir and chaplain’s sacristy, refectory, personnel offices, confessionals, blessed sacrament room, and toilets and services rooms.</t>
  </si>
  <si>
    <t>Chapel Center</t>
  </si>
  <si>
    <t>Chapel, Interior</t>
  </si>
  <si>
    <t>School, Dependent Dining Hall</t>
  </si>
  <si>
    <t>School, Dependent Dormitory</t>
  </si>
  <si>
    <t>School, Dependent Detached Support</t>
  </si>
  <si>
    <t>Dependent Schools K-12</t>
  </si>
  <si>
    <t>School, Dependent Nursery</t>
  </si>
  <si>
    <t>(PRE-SCHOOL)</t>
  </si>
  <si>
    <t>Honor Guard</t>
  </si>
  <si>
    <t>HONOR GUARD</t>
  </si>
  <si>
    <t>This facility is designed to support Honor Guard operations, providing dedicated spaces for administration, drill/practice, uniform storage, changing rooms, weapons storage and clearing, casket storage, wheeled carts, an interment simulator, an urn training podium, armchair storage, and other essential equipment.</t>
  </si>
  <si>
    <t>Ceremonial Hall</t>
  </si>
  <si>
    <t>Correction Facility</t>
  </si>
  <si>
    <t>Visitor CONTR Center</t>
  </si>
  <si>
    <t>Security Police Defensive Fighting Position</t>
  </si>
  <si>
    <t>Overwatch facility designed to provide secure defensive positions for security police personnel when required.  Security threat analysis required to determine ballistic protection level.</t>
  </si>
  <si>
    <t>RTES - Each RTES Tower structure should be captured as its own facility with its own Real Property Unique Identifier (RPUID). Square footage is derived from the ground level and platform level. The RTES remains organizational equipment.</t>
  </si>
  <si>
    <t>Security Police Operations</t>
  </si>
  <si>
    <t>Reserve Fire Team Facility</t>
  </si>
  <si>
    <t>Security Police Entry Control Building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</si>
  <si>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</si>
  <si>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Master Surveillance and CONTR Facility</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</si>
  <si>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</si>
  <si>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</si>
  <si>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HOUSES)</t>
  </si>
  <si>
    <t>Military Working Dog Kennel</t>
  </si>
  <si>
    <t>MIL WORKING DOG KENNEL</t>
  </si>
  <si>
    <t>(EA = NUMBER OF DOG KENNELS WITHIN THE FACILITY)</t>
  </si>
  <si>
    <t>Mortuary</t>
  </si>
  <si>
    <t>Drug and Alcohol Abuse Counseling Center</t>
  </si>
  <si>
    <t>Inclement Weather Shelter, Below Ground</t>
  </si>
  <si>
    <t>Smoking Shelter</t>
  </si>
  <si>
    <t>Miscellaneous Personnel Shelter</t>
  </si>
  <si>
    <t>Separate Toilet/Shower Building</t>
  </si>
  <si>
    <t>(FOR FAM CAMP, USE FAM CAMP SPT BLDG, 750612)</t>
  </si>
  <si>
    <t>Enclosed Mall</t>
  </si>
  <si>
    <t>Shopping center under one roof that combines the elements of a community shopping center with the main exchange, exchange outlets, commissary, credit union and bank.</t>
  </si>
  <si>
    <t>Bank Branch</t>
  </si>
  <si>
    <t>Credit Union</t>
  </si>
  <si>
    <t>Family Support Center</t>
  </si>
  <si>
    <t>Thrift SHP</t>
  </si>
  <si>
    <t>Store, Book</t>
  </si>
  <si>
    <t>Store, Commissary</t>
  </si>
  <si>
    <t>Cadet Store</t>
  </si>
  <si>
    <t>Base Package Store</t>
  </si>
  <si>
    <t>Animal Clinic</t>
  </si>
  <si>
    <t>Rod and Gun Club</t>
  </si>
  <si>
    <t>Recreation/Community Center</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</si>
  <si>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</si>
  <si>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</si>
  <si>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AERO Club</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</si>
  <si>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</si>
  <si>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</si>
  <si>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</si>
  <si>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</si>
  <si>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</si>
  <si>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Exchange Cafeteria Snack Bar</t>
  </si>
  <si>
    <t>Exchange Branch</t>
  </si>
  <si>
    <t>(AAFES CODE = 1Y), SHOPPETTE</t>
  </si>
  <si>
    <t>Exchange Service Station</t>
  </si>
  <si>
    <t>Exchange Laundry and Drycleaning Plant</t>
  </si>
  <si>
    <t>Exchange Maintenance Shop</t>
  </si>
  <si>
    <t>Exchange Administration</t>
  </si>
  <si>
    <t>Exchange Retail Warehouse</t>
  </si>
  <si>
    <t>Exchange Sales Store</t>
  </si>
  <si>
    <t>Exchange Service Outlet</t>
  </si>
  <si>
    <t>Central Exchange Administration</t>
  </si>
  <si>
    <t>Central Exchange Warehouse</t>
  </si>
  <si>
    <t>Central Exchange Support Facility</t>
  </si>
  <si>
    <t>Those facilities or areas such as food processing (i.e. central kitchen) or depots, bakeries, refrigerated storage plants, central repair shops or processing plants that are extensions of the main facilities.</t>
  </si>
  <si>
    <t>Transient Lodging Facility (Appropriated)</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</si>
  <si>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</si>
  <si>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</si>
  <si>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</si>
  <si>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Transient Lodging Support Building</t>
  </si>
  <si>
    <t>Open Mess, Airmen</t>
  </si>
  <si>
    <t>Consolidated Open Mess</t>
  </si>
  <si>
    <t>Enlisted Open Mess</t>
  </si>
  <si>
    <t>Officer Open Mess</t>
  </si>
  <si>
    <t>Master Television Antenna</t>
  </si>
  <si>
    <t>Arts and Crafts Center</t>
  </si>
  <si>
    <t>Hobby Shop Automotive</t>
  </si>
  <si>
    <t>Recreation Site Lodging</t>
  </si>
  <si>
    <t>Recreation Support Facility</t>
  </si>
  <si>
    <t>RECTN SPRT FAC</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</si>
  <si>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</si>
  <si>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(LA = NUMBER OF LANES)</t>
  </si>
  <si>
    <t>MWR Supply and NAF Central Storage</t>
  </si>
  <si>
    <t>Gymnasium</t>
  </si>
  <si>
    <t>(INDOOR FITNESS CENTER),  (APPROPRIATED FUNDED).  A HAWK, Health and Wellness Center, would be captured under this category code.</t>
  </si>
  <si>
    <t>Base Library</t>
  </si>
  <si>
    <t>Swimming Pool, Indoor</t>
  </si>
  <si>
    <t>Skating Rink</t>
  </si>
  <si>
    <t>Cadet Social Center</t>
  </si>
  <si>
    <t>Red Cross Office</t>
  </si>
  <si>
    <t>(SEE AFI 32-9003, Para 1.5.1 License to Red Cross; Statutory Authority 10 U.S.C. 2670 &amp; 2602); and paragraphs 3.5.3 and 3.5.3.)</t>
  </si>
  <si>
    <t>Restaurant Fund MWR Facility</t>
  </si>
  <si>
    <t>Space occupied by income producing activities operated by the base restaurant fund that are not food service related i.e. bowling alley, barber and beauty shop and sundry sales.</t>
  </si>
  <si>
    <t>Civilian Fund MWR Building</t>
  </si>
  <si>
    <t>Restaurant, Base</t>
  </si>
  <si>
    <t>(NON-EXCHANGE FACILITY)</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</si>
  <si>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</si>
  <si>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</si>
  <si>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</si>
  <si>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BSE AUD/THEATR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</si>
  <si>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</si>
  <si>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Conference Center</t>
  </si>
  <si>
    <t>CONF CTR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</si>
  <si>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</si>
  <si>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</si>
  <si>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Child Development Center</t>
  </si>
  <si>
    <t>(DAYCARE CENTER)</t>
  </si>
  <si>
    <t>Morale Welfare Rec Pet Kennel</t>
  </si>
  <si>
    <t>Athletic Field, Baseball</t>
  </si>
  <si>
    <t>Athletic Field, Football/Soccer</t>
  </si>
  <si>
    <t>Athletic Field, Track</t>
  </si>
  <si>
    <t>(Grass or artificial turf)  (Artificial turf is real property)</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</si>
  <si>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</si>
  <si>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</si>
  <si>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Athletic Field, Standard</t>
  </si>
  <si>
    <t>Wading Pool/Splash Pool/Water Park</t>
  </si>
  <si>
    <t>WADING POOL</t>
  </si>
  <si>
    <t>Court, Tennis</t>
  </si>
  <si>
    <t>Platform Tennis</t>
  </si>
  <si>
    <t>A platform (elevated court) surrounded with A taut fencing which allows play off the walls, as in racquetball and squash.</t>
  </si>
  <si>
    <t>Court, Recreation</t>
  </si>
  <si>
    <t>(VOLLEYBALL, HORSESHOES, PAINTBALL, ETC.)</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</si>
  <si>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</si>
  <si>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</si>
  <si>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Golf Clubhouse</t>
  </si>
  <si>
    <t>Golf Equipment Building</t>
  </si>
  <si>
    <t>Golf Course, 9 Hole</t>
  </si>
  <si>
    <t>Golf Course, 18 Hole</t>
  </si>
  <si>
    <t>Pitch &amp; Putt Golf Course</t>
  </si>
  <si>
    <t>Recreation/Picnic Area</t>
  </si>
  <si>
    <t>Outdoor Recreation Track/Course</t>
  </si>
  <si>
    <t>O/RECTN TRK/CRS</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</si>
  <si>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</si>
  <si>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Civilian Outdoor Recreation Facility</t>
  </si>
  <si>
    <t>Riding Stables</t>
  </si>
  <si>
    <t>Facility used for boarding horses. Space includes single or double stalls, treatment stalls, quarantine area, operator's quarters, hay storage area, grain room, tack room, tack lockers, sweat pad and blanket drying area.</t>
  </si>
  <si>
    <t>Marina/Boat Ramp</t>
  </si>
  <si>
    <t>A waterfront facility operated by MWR that provides rental boats, a boat launch, and other waterfront amenities.</t>
  </si>
  <si>
    <t>Family Camping Area</t>
  </si>
  <si>
    <t>1 EA represents an occurrence count of the entire recreation park or campground.</t>
  </si>
  <si>
    <t>Family Camping Support Facility</t>
  </si>
  <si>
    <t>Privately Owned Vehicle Washrack</t>
  </si>
  <si>
    <t>Swimmers Bath House</t>
  </si>
  <si>
    <t>Swimming Pool, Outdoor</t>
  </si>
  <si>
    <t>Outdoor swimming pools are intended for the recreational use of installation personnel and for water training.</t>
  </si>
  <si>
    <t>(OUTDOOR)</t>
  </si>
  <si>
    <t>Swimming Pool Water Treatment</t>
  </si>
  <si>
    <t>Theater, Outdoor</t>
  </si>
  <si>
    <t>Playground, General Purpose</t>
  </si>
  <si>
    <t> 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 </t>
  </si>
  <si>
    <t>Recreational Pier/Platform</t>
  </si>
  <si>
    <t>(Also see RECREATIONAL PIER/PLATFORM – 751721 – EA)</t>
  </si>
  <si>
    <t>Museum Building</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</si>
  <si>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</si>
  <si>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</si>
  <si>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</si>
  <si>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Monuments/Memorials</t>
  </si>
  <si>
    <t>Electric Power Generation Non-Plant (Electric Power, Photovoltaic)</t>
  </si>
  <si>
    <t>Total Energy Plant Building</t>
  </si>
  <si>
    <t>Electric Power Generation Plant (Electric Power, Photovoltaic)</t>
  </si>
  <si>
    <t>(SOLAR FARMS)</t>
  </si>
  <si>
    <t>Wind Turbine</t>
  </si>
  <si>
    <t>(WIND FARM)</t>
  </si>
  <si>
    <t>Emergency Electric Power Generation Plant</t>
  </si>
  <si>
    <t>If located outside of a facility give the generator its own facility number and RPUID.</t>
  </si>
  <si>
    <t>Electric Power Station Building</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</si>
  <si>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</si>
  <si>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</si>
  <si>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</si>
  <si>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</si>
  <si>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Mh</t>
  </si>
  <si>
    <t>Primary Distribution Line Overhead</t>
  </si>
  <si>
    <t>Utility components of the base electrical distribution system.  The equipment includes poles, guys, cross arms, insulators, hardware, transformers, lightning arresters, fuses, line switches and other related equipment</t>
  </si>
  <si>
    <t>Secondary Distribution Line Overhead</t>
  </si>
  <si>
    <t>Primary Distribution Line Underground</t>
  </si>
  <si>
    <t>Utility components of the base electrical system.  UG distribution primary line consists of ducts, manholes, vaults, cables, potheads, transformers, switches, protective devices and associated equipment.</t>
  </si>
  <si>
    <t>Secondary Distribution Line Underground</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</si>
  <si>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</si>
  <si>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</si>
  <si>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</si>
  <si>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</si>
  <si>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</si>
  <si>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</si>
  <si>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</si>
  <si>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Traffic Lights</t>
  </si>
  <si>
    <t>Electric Switching Station</t>
  </si>
  <si>
    <t>Electric Substation</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</si>
  <si>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</si>
  <si>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</si>
  <si>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</si>
  <si>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Coal Yard</t>
  </si>
  <si>
    <t>Heating Fuel Oil Storage</t>
  </si>
  <si>
    <t>Heating from Central Plant</t>
  </si>
  <si>
    <t>Heating Plant</t>
  </si>
  <si>
    <t>Heating Facility Building</t>
  </si>
  <si>
    <t>Steam Plant Industrial</t>
  </si>
  <si>
    <t>Steam Facility Building</t>
  </si>
  <si>
    <t xml:space="preserve">This facility contains a heating plant that provides steam service to two or more facilities. </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</si>
  <si>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</si>
  <si>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</si>
  <si>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</si>
  <si>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Pump Station</t>
  </si>
  <si>
    <t>Steam Heating Mains</t>
  </si>
  <si>
    <t>Condensate Return Pump Station</t>
  </si>
  <si>
    <t>Heat Gas Source</t>
  </si>
  <si>
    <t>Gas Compressor Building</t>
  </si>
  <si>
    <t>Gas Storage</t>
  </si>
  <si>
    <t>Gas Vaporizer Building</t>
  </si>
  <si>
    <t>Gas Meter Facility</t>
  </si>
  <si>
    <t>Gas Mains</t>
  </si>
  <si>
    <t>Gas Odorizer Facility</t>
  </si>
  <si>
    <t>Gas Valve Facility</t>
  </si>
  <si>
    <t>Air Conditioning/Refrigeration Plant</t>
  </si>
  <si>
    <t>Air Conditioning Plant Over 100 Tons</t>
  </si>
  <si>
    <t>Chilled Water Exterior Distribution Line</t>
  </si>
  <si>
    <t>Industrial Waste Treatment and Disposal</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</si>
  <si>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</si>
  <si>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</si>
  <si>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Sewage Treatment and Disposal</t>
  </si>
  <si>
    <t>Waste Treatment Building</t>
  </si>
  <si>
    <t>Sewage Septic Tank</t>
  </si>
  <si>
    <t>Radioactive Waste Burial Site</t>
  </si>
  <si>
    <t>Radioactive Waste Disposal</t>
  </si>
  <si>
    <t>Demolition and Burn Facility</t>
  </si>
  <si>
    <t>Hazardous Waste Storage &amp; Transfer Facility</t>
  </si>
  <si>
    <t>A storage facility for the containment and shipment of hazardous wastes.  Can be short term or long term.</t>
  </si>
  <si>
    <t>Septic Lagoons - Ponds</t>
  </si>
  <si>
    <t>Industrial Waste Main</t>
  </si>
  <si>
    <t>Sanitary Sewage Main</t>
  </si>
  <si>
    <t>Sanitary Sewage Pump Station</t>
  </si>
  <si>
    <t>(LIFT STATION)</t>
  </si>
  <si>
    <t>Recycling Center</t>
  </si>
  <si>
    <t>Incinerator Facility</t>
  </si>
  <si>
    <t>TH = Tons per Hour.</t>
  </si>
  <si>
    <t>Garbage Stand</t>
  </si>
  <si>
    <t>Solid Waste Disposal Facility</t>
  </si>
  <si>
    <t>Solid Waste Repository</t>
  </si>
  <si>
    <t>Garbage Container Washrack</t>
  </si>
  <si>
    <t>Solid Waste Disposal Landfill</t>
  </si>
  <si>
    <t>(NON- HAZARDOUS LAND FILL) Use for asbestos disposal IAW 40 CFR CH 1, Subchapter I, Part 264.If under remediation receiving DERP funding, use RPA Operational Status code of CLSD.</t>
  </si>
  <si>
    <t>Hazardous/Waste Disposal Landfill</t>
  </si>
  <si>
    <t> (HAZARDOUS LAND FILL)  Asbestos is considered non-hazardous IAW 40 CFR CH 1, Subchapter I, Part 264.  Use catcode 833360 for asbestos disposal.If under remediation receiving DERP funding, use RPA Operational Status code of CLSD.</t>
  </si>
  <si>
    <t>Water Supply Mains</t>
  </si>
  <si>
    <t>Pipes or conduits that supply water from the potable water source or treatment plant to the Water Distribution Line. Typically, this category includes pipelines, and valves.</t>
  </si>
  <si>
    <t>Commercial Water Supply</t>
  </si>
  <si>
    <t>Surface Water Supply</t>
  </si>
  <si>
    <t>Water Supply Treatment Facility</t>
  </si>
  <si>
    <t>Water Well</t>
  </si>
  <si>
    <t xml:space="preserve">Water production wells that supply domestic or industrial water. This includes pumping equipment, casing, and controls. </t>
  </si>
  <si>
    <t>Water Supply Building</t>
  </si>
  <si>
    <t>Water Storage Dam</t>
  </si>
  <si>
    <t>Water Storage Reservoir</t>
  </si>
  <si>
    <t>Storm Water Pond</t>
  </si>
  <si>
    <t>Storm 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</si>
  <si>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     </t>
  </si>
  <si>
    <t>Water Tank Storage</t>
  </si>
  <si>
    <t>All pipes that convey potable water from the Water Supply Mains to the end user. Lateral/Service lines.</t>
  </si>
  <si>
    <t>(POTABLE)</t>
  </si>
  <si>
    <t>Water Pump Station</t>
  </si>
  <si>
    <t>KG = Thousands of Gallons.</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</si>
  <si>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</si>
  <si>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</si>
  <si>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</si>
  <si>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t>
  </si>
  <si>
    <t>Fire Protection Water Mains</t>
  </si>
  <si>
    <t>Water Fire Pumping Station</t>
  </si>
  <si>
    <t>(CAN BE STAND ALONE BUILDINGS OR ATTACHED TO LARGER FACILITIES)</t>
  </si>
  <si>
    <t>Fire Protection Water Storage</t>
  </si>
  <si>
    <t>Water Supply Storage, Non-Potable</t>
  </si>
  <si>
    <t>Water Supply Non-Potable</t>
  </si>
  <si>
    <t>(GRAY WATER)</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</si>
  <si>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</si>
  <si>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</si>
  <si>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</si>
  <si>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</si>
  <si>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</si>
  <si>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</si>
  <si>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</si>
  <si>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</si>
  <si>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Water Supply Main Non-Potable</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</si>
  <si>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</si>
  <si>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</si>
  <si>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Curbs and Gutters</t>
  </si>
  <si>
    <t>SY = LF x 2.5 / 9</t>
  </si>
  <si>
    <t>Driveway</t>
  </si>
  <si>
    <t>Road</t>
  </si>
  <si>
    <t>Structures designed to carry vehicle traffic. Volume and composition of traffic determines the design of roads and streets. Normally a hard surfaced road. The surface is usually concrete or asphalt.  Curbs and Gutters are captured under catcode 851143.</t>
  </si>
  <si>
    <t>Road Unsurfaced</t>
  </si>
  <si>
    <t>An unsurfaced (unpaved) structure designed to carry vehicle traffic. Volume and composition of traffic determines the design of roads. The surface is usually gravel.</t>
  </si>
  <si>
    <t>Vehicular Tunnel</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</si>
  <si>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</si>
  <si>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</si>
  <si>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</si>
  <si>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</si>
  <si>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</si>
  <si>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</si>
  <si>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Vehicle Parking Non Organizational</t>
  </si>
  <si>
    <t>A paved parking area used for event parking, overflow parking, deployment activities, and or air shows. Parking spaces based on special traffic analysis that would authorize additional parking on an installation.</t>
  </si>
  <si>
    <t>Vehicle Parking Unsurfaced</t>
  </si>
  <si>
    <t>A designated unsurfaced parking area to be used for parking privately owned or government vehicles.</t>
  </si>
  <si>
    <t>(COULD BE DIRT OR GRAVEL LOT)</t>
  </si>
  <si>
    <t>Vehicle/Equipment Parking Research and Development</t>
  </si>
  <si>
    <t>Vehicle Parking Refueling</t>
  </si>
  <si>
    <t>Pad or other impervious surface with containment for refuelers, tanker truck, hose carts, pantographs, etc., to park when not in service.  Catcode includes the containment area, vault, isolation valve, storm piping, culverts, etc.</t>
  </si>
  <si>
    <t>Private Vehicle Parking Compound</t>
  </si>
  <si>
    <t>A fenced storage yard with a paved surface and floodlighting. The primary use is for storage or long term parking of privately owned vehicles, recreation equipment, recreation trailers and abandoned or impounded vehicles.</t>
  </si>
  <si>
    <t>(RV STORAGE LOTS, LEMON LOTS, IMPOUND LOTS)</t>
  </si>
  <si>
    <t>Aircraft Support Equipment Storage Yard</t>
  </si>
  <si>
    <t>Walkway Bridge</t>
  </si>
  <si>
    <t>(FOOTBRIDGE)</t>
  </si>
  <si>
    <t>Covered Walkway</t>
  </si>
  <si>
    <t>Sidewalk</t>
  </si>
  <si>
    <t>(CONCRETE, BRICK, ASPHALT)</t>
  </si>
  <si>
    <t>Vehicle Staging Area, Surfaced/Unsurfaced</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</si>
  <si>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</si>
  <si>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</si>
  <si>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</si>
  <si>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VEHICLE PARKING GARAGE/STRUCTURE</t>
  </si>
  <si>
    <t>A garage/structure for parking private and/or government owned vehicles and equipment in individual parking spots/locations. Facility may be above-ground or underground.</t>
  </si>
  <si>
    <t>(Car Park, parking garage, parking structure, parking ramp)</t>
  </si>
  <si>
    <t>Parking Garage/Structure</t>
  </si>
  <si>
    <t>Railroad Shelter Personnel</t>
  </si>
  <si>
    <t>Railroad Trackage</t>
  </si>
  <si>
    <t>Drainage Ditch</t>
  </si>
  <si>
    <t>(Rip Rap = rocks to dissipate water pressure)</t>
  </si>
  <si>
    <t>Storm Water Pumping Station</t>
  </si>
  <si>
    <t>Pump station facility used for moving storm water runoff from one elevation/location to another.</t>
  </si>
  <si>
    <t>Storm Drainage Disposal</t>
  </si>
  <si>
    <t>Storm Drainage Pumping Station</t>
  </si>
  <si>
    <t>Retaining Wall</t>
  </si>
  <si>
    <t>Dike / Dam</t>
  </si>
  <si>
    <t>No criteria are currently available for this Category Code. Requirements must be individually justified.</t>
  </si>
  <si>
    <t>Dikes</t>
  </si>
  <si>
    <t>Fence Boundary</t>
  </si>
  <si>
    <t>(SHOULD BE RECESSED FROM ACTUAL PROPERTY LINE 3 OR MORE FEET SO THAT MAINTENANCE AND VEGETATION REMOVAL ON THE OUTSIDE OF THE FENCE CAN OCCUR WHILE STILL ON FEDERAL LAND. MAY OR MAY NOT INCLUDE BARBED/RAZOR WIRE OUTRIGGERS)</t>
  </si>
  <si>
    <t>Standard Fence and Wall</t>
  </si>
  <si>
    <t>Fence Security/Vehicle Barriers</t>
  </si>
  <si>
    <t>Fence Interior</t>
  </si>
  <si>
    <t>(MAY INCLUDE WOODEN OR DECORATIVE FENCES &amp;WALLS)</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</si>
  <si>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</si>
  <si>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</si>
  <si>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</si>
  <si>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For purposes of this code, EA corresponds to a single barricade lane (e.g., a barricade extending across two lanes of traffic counts as 2 EA).</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</si>
  <si>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</si>
  <si>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</si>
  <si>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Revetment Pre-Engineered</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</si>
  <si>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</si>
  <si>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</si>
  <si>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</si>
  <si>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</si>
  <si>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</si>
  <si>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</si>
  <si>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Solar Collection System</t>
  </si>
  <si>
    <t>(FOR STAND ALONE SOLAR FARMS, USE 811145)</t>
  </si>
  <si>
    <t>Compressed Air Plant</t>
  </si>
  <si>
    <t>Compressed Air Plant Building</t>
  </si>
  <si>
    <t>Compressed Air Distribution</t>
  </si>
  <si>
    <t>Tramway Aerial</t>
  </si>
  <si>
    <t>Loading and Unloading Area</t>
  </si>
  <si>
    <t>Gantry/Bridge Crane</t>
  </si>
  <si>
    <t>Load/Unloading Pit</t>
  </si>
  <si>
    <t>Load/Unloading Platform</t>
  </si>
  <si>
    <t>Miscellaneous Storage Tank - Above Ground</t>
  </si>
  <si>
    <t>Above ground tanks used to store waste petroleum products or other type of liquid that is not considered hazardous waste and is not covered under other categories.</t>
  </si>
  <si>
    <t>Miscellaneous Storage Tank - Underground</t>
  </si>
  <si>
    <t>Underground tanks used to store waste petroleum products or other type of liquid that is not considered hazardous waste and is not covered under other categories.</t>
  </si>
  <si>
    <t>Utility Line Ducts</t>
  </si>
  <si>
    <t>(OFTEN CONFUSED WITH TELEPHONE DUCT FACILITY, 135583)</t>
  </si>
  <si>
    <t>Utility Door</t>
  </si>
  <si>
    <t>Weight Scale</t>
  </si>
  <si>
    <t>(VEHICLE SCALE)</t>
  </si>
  <si>
    <t>Refuse and Garbage Building</t>
  </si>
  <si>
    <t>Shredder Facility</t>
  </si>
  <si>
    <t>Combined Sewage and Industrial Waste Treatment Building</t>
  </si>
  <si>
    <t>Building Housing Miscellaneous Utility Plant</t>
  </si>
  <si>
    <t>Monitoring Wells</t>
  </si>
  <si>
    <t>8840</t>
  </si>
  <si>
    <t>Decorative Fountain/Pond</t>
  </si>
  <si>
    <t>Environmental Test Facility</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</si>
  <si>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</si>
  <si>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</si>
  <si>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</si>
  <si>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</si>
  <si>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</si>
  <si>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Land Donation State and Local Government</t>
  </si>
  <si>
    <t>Land Fee Condemnation</t>
  </si>
  <si>
    <t>Land, Public Domain</t>
  </si>
  <si>
    <t>  </t>
  </si>
  <si>
    <t>Land, License, General Use</t>
  </si>
  <si>
    <t>Land, Permit, General Use</t>
  </si>
  <si>
    <t>Land, Public, Executive Order</t>
  </si>
  <si>
    <t>Land, Air Rights</t>
  </si>
  <si>
    <t>Land, Water Rights</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</si>
  <si>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</si>
  <si>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</si>
  <si>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</si>
  <si>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Land, Restrictions</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</si>
  <si>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</si>
  <si>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</si>
  <si>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</si>
  <si>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Land, Lease, Subject to Recapture</t>
  </si>
  <si>
    <t>Land, Lease, Private Enterprise</t>
  </si>
  <si>
    <t>Land, Lease and Supplement</t>
  </si>
  <si>
    <t>This category code identifies those lands under the custody and accountability of the Air Force that have been leased from individuals.</t>
  </si>
  <si>
    <t>Land, In-Lease Mineral</t>
  </si>
  <si>
    <t>Land, In-Lease Other</t>
  </si>
  <si>
    <t>This category code identifies all other in-leases not identified under any other category codes.</t>
  </si>
  <si>
    <t>Foreign Land Lease Under 99 Years</t>
  </si>
  <si>
    <t>Foreign Land Lease 99 Years</t>
  </si>
  <si>
    <t>Foreign Land Agreement Base Rights</t>
  </si>
  <si>
    <t>Foreign Land Requisitioned</t>
  </si>
  <si>
    <t>Foreign Land Miscellaneous</t>
  </si>
  <si>
    <t>Assembly Space - Auditorium (50+ people) SF per person</t>
  </si>
  <si>
    <t>Assembly Space - Classroom /Training 25-50 people typical; up to 75) SF per person</t>
  </si>
  <si>
    <t>Assembly Space - Classroom/Training (up to 25 people) SF per person</t>
  </si>
  <si>
    <t>Assembly Space - Collaboration Space (Telework Only) SF per person</t>
  </si>
  <si>
    <t>(auto-populates)</t>
  </si>
  <si>
    <t>Assembly Space - Conference Room (10-50 people) SF per person</t>
  </si>
  <si>
    <t>Assembly Space - Conference Room (additional, need justification) SF per person</t>
  </si>
  <si>
    <t>Assembly Space - Conference Room (Group CC) SF per room</t>
  </si>
  <si>
    <t>Assembly Space - Conference Room (Host or Tenant Wing CC) SF per room</t>
  </si>
  <si>
    <t>Assembly Space - Conference Room (Integrated Mission Delta CC) SF per room</t>
  </si>
  <si>
    <t>Assembly Space - Conference Room (MAJCOM/FIELDCOM CC) SF per room</t>
  </si>
  <si>
    <t>Assembly Space - Conference Room (Mission Delta CC) SF per room</t>
  </si>
  <si>
    <t>Assembly Space - Conference Room (Space Base Delta CC) SF per room</t>
  </si>
  <si>
    <t>Assembly Space - Conference Room (Space Delta CC) SF per room</t>
  </si>
  <si>
    <t>Assembly Space - Conference Room (Space Launch Space Delta CC) SF per room</t>
  </si>
  <si>
    <t>Assembly Space - Conference Room (System Delta CC) SF per room</t>
  </si>
  <si>
    <t>Assembly Space - Discussion Room/Huddle Space (2-4 people) SF per room</t>
  </si>
  <si>
    <t>Assembly Space - Small Meeting/Counseling Room (4-6 people) SF per room</t>
  </si>
  <si>
    <t>Assembly Space - Team Room (6-10 people) SF per room</t>
  </si>
  <si>
    <t>Assembly Space - Total Meeting Space for Customer (Team &amp; Conference combined)</t>
  </si>
  <si>
    <t>Commander: FIELDCOM Deputy</t>
  </si>
  <si>
    <t>Break Room</t>
  </si>
  <si>
    <t>Changing Room</t>
  </si>
  <si>
    <t>Copy Room (additional, need justification)</t>
  </si>
  <si>
    <t>Commander: Integrated Mission Delta</t>
  </si>
  <si>
    <t>File Room</t>
  </si>
  <si>
    <t>Commander: Integrated Mission Delta Deputy</t>
  </si>
  <si>
    <t>Full D-size Plotter</t>
  </si>
  <si>
    <t xml:space="preserve">Kiosk Station </t>
  </si>
  <si>
    <t>Kitchen (if authorized)</t>
  </si>
  <si>
    <t>Commander: Mission Delta</t>
  </si>
  <si>
    <t>Lactation Room (primarily for customer support)</t>
  </si>
  <si>
    <t>Commander: Mission Delta Deputy</t>
  </si>
  <si>
    <t>Commander: NAF Deputy</t>
  </si>
  <si>
    <t>Commander: Space Base Delta</t>
  </si>
  <si>
    <t>Mission Planning Room</t>
  </si>
  <si>
    <t>Commander: Space Base Delta Deputy</t>
  </si>
  <si>
    <t>Commander: Space Delta</t>
  </si>
  <si>
    <t>Safe, GSA</t>
  </si>
  <si>
    <t>Commander: Space Delta Deputy</t>
  </si>
  <si>
    <t>Commander: Space Launch Delta</t>
  </si>
  <si>
    <t>Shower</t>
  </si>
  <si>
    <t>Commander: Space Launch Delta Deputy</t>
  </si>
  <si>
    <t>SIPRNet Room (20 SF per station, 80 SF min)</t>
  </si>
  <si>
    <t>Task Station</t>
  </si>
  <si>
    <t>Commander: System Delta</t>
  </si>
  <si>
    <t>Commander: System Delta Deputy</t>
  </si>
  <si>
    <t xml:space="preserve">Vending Area </t>
  </si>
  <si>
    <t>Waiting Area</t>
  </si>
  <si>
    <t>Type of Authorization - Bulk or A=A or Other</t>
  </si>
  <si>
    <t>Authorized = Actual (A=A)</t>
  </si>
  <si>
    <t>Bulk</t>
  </si>
  <si>
    <t>Group Command SEL</t>
  </si>
  <si>
    <t>Type of Authorization - Support Agreements</t>
  </si>
  <si>
    <t>Per Building</t>
  </si>
  <si>
    <t>Per Person Count</t>
  </si>
  <si>
    <t>Per Space</t>
  </si>
  <si>
    <t xml:space="preserve">Per Square Foot </t>
  </si>
  <si>
    <t>Senior Enlisted Advisor</t>
  </si>
  <si>
    <t>Special Victim Attorney</t>
  </si>
  <si>
    <t>Squadron Senior Enlisted Leader</t>
  </si>
  <si>
    <t>Table 8.1 -Circulation multiplier drop-down</t>
  </si>
  <si>
    <t>Circulation Multiplier Selection</t>
  </si>
  <si>
    <t>Circulation Multiplier</t>
  </si>
  <si>
    <t>No Circulation Multiplier - the data is already in Gross Square Feet (GSF)</t>
  </si>
  <si>
    <t>Circulation Multiplier (Factor 28%; Multiplier 0.40)</t>
  </si>
  <si>
    <t>Contractor (40hr or FTE)</t>
  </si>
  <si>
    <t>Table 9.1 Net to Gross multiplier drop-down</t>
  </si>
  <si>
    <t>Customer Service workspace</t>
  </si>
  <si>
    <t>Net to Gross Multiplier Selection</t>
  </si>
  <si>
    <t>Net-to-Gross Multiplier</t>
  </si>
  <si>
    <t>No Net-to-Gross Multiplier - the data is already in Gross Square Feet (GSF)</t>
  </si>
  <si>
    <t>Net-to-Gross Multiplier for Warehouses (Factor 20%; Multiplier 0.25)</t>
  </si>
  <si>
    <t>Net-to-Gross Multiplier for Hangars (Factor 13%; Multiplier 0.15)</t>
  </si>
  <si>
    <t>Net-to-Gross Multiplier for Administrative space (Factor 30%; Multiplier 0.42)</t>
  </si>
  <si>
    <t>Kiosk Station</t>
  </si>
  <si>
    <t>Reservists (IMA one per 4 assigned)</t>
  </si>
  <si>
    <t>Shared Workstation</t>
  </si>
  <si>
    <t>WG/GP/SQ Command Support Staff</t>
  </si>
  <si>
    <t>Maintenance hangars provide space for an aircraft parking bay and support space for heating, plumbing electricity, aircraft weighting, aircraft jacking, restrooms, ventilation, compressed air systems, and fire detection and suppression, and are usually insulated.</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</si>
  <si>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</si>
  <si>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Facility designed for use as the operational center of the base Motor Pool. Functional space areas include locker room, restrooms, driver's ready room, dispatcher, administrative space, and a driver</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</si>
  <si>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</si>
  <si>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This facility houses staff offices for Headquarters of Operational Wings, Air Base Wings, Training Wings, Space Base Delta, and Space Launch Delta. It provides administrative and support space, including the Wing/Delta staff agencies.</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</si>
  <si>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</si>
  <si>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Facilities occupied by Headquarters staff offices of Air Force and Space Force, including field extensions. It also applies to the Headquarters of AF Forward Operating Agencies (FOAs) and AF Direct Reporting Units (DRUs).</t>
  </si>
  <si>
    <t>Facility designed to accommodate various Headquarters Named and Numbered Divisions staff offices.</t>
  </si>
  <si>
    <t>Facility designed to house small animals or birds such as the U.S. Air Force Academy mascot (Gyr falcon). Also included are areas for raising and storing foods, watering &amp; feeding supply equipment, etc.</t>
  </si>
  <si>
    <t>This facility accommodates the Logistics Center Commander and staff including the Directorate of Plans and Programs and all administrative functions of material management, maintenance, distribution, procurement, and production.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</si>
  <si>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</si>
  <si>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 xml:space="preserve">This facility provides base printing support to co-located units/activities for which a memorandum of agreement exists for such support. </t>
  </si>
  <si>
    <t xml:space="preserve">Facility designed to provide duplicating service support and is in some cases a satellite of the printing plant facility. </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</si>
  <si>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</si>
  <si>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</si>
  <si>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 xml:space="preserve">Facility for the administration and training installation's populace on chemical, biological, radiological, and nuclear defense, installation incident management, and emergency response operations. </t>
  </si>
  <si>
    <t>Facility designed for retention and care of stray animals found on base until they can be reunited with their owner.</t>
  </si>
  <si>
    <t>Military Family Housing units built in foreign countries utilizing local currencies generated by the sale of surplus U.S. Agriculture commodities pursuant to the Agriculture Trade Development and Assistance Act of 1954.</t>
  </si>
  <si>
    <t>Family housing units which guarantee a percentage of full occupancy by military families to the builder or owner.</t>
  </si>
  <si>
    <t>Prefabricated Military Family Housing  (MFH) units that are re-locatable.</t>
  </si>
  <si>
    <t>A building equal to, or greater in height than 7 stories above ground, which contains family housing units/apartments. Associated space may include lobby, multipurpose room, restrooms, elevator banks, utility/control rooms, and emergency generators.</t>
  </si>
  <si>
    <t>Family-Housing - Other Detached Facilities</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</si>
  <si>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</si>
  <si>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Unaccompanied Housing for personnel attending Military Occupational Specialty (MOS) producing schools at locations other than Army training centers.</t>
  </si>
  <si>
    <t>Facility designed to house unaccompanied personnel in the enlisted ranks and comparable-grade unaccompanied civilian employees.</t>
  </si>
  <si>
    <t>Facility designed to house unaccompanied personnel in the enlisted ranks and comparable grade unaccompanied civilian employees.</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</si>
  <si>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</si>
  <si>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Facility designed for housing unaccompanied noncommissioned officers (NCO) and comparable grade civilian employees ineligible for assignment to family housing.</t>
  </si>
  <si>
    <t>Facility designed for visiting unaccompanied enlisted personnel and civilian equivalents. The standard living unit is similar to Dormitory Airman Permanent Party/PCS-Student, CATCode 721312.</t>
  </si>
  <si>
    <t>Facility for housing unaccompanied personnel who have been wounded or injured during combat operations.</t>
  </si>
  <si>
    <t>Barracks for students attending Military Occupational Specialty (MOS) producing schools at locations other than Army training centers. Use Trainee Barracks, CATCode 72181, at Army training center locations.</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</si>
  <si>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</si>
  <si>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</si>
  <si>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Same type facility as  Airman Dining Halls (Detached), CATCode 722351, except configured to serve the officer contingent. Typically the facility is somewhat smaller to the Airman version, mainly due to fewer personnel served.</t>
  </si>
  <si>
    <t>Detached garages that are used by unaccompanied personnel when staying at Unaccompanied Enlisted Personnel Housing (UEPH).</t>
  </si>
  <si>
    <t>Production operation kitchen where food is prepared either partially or completely for use in nearby appropriated fund dining halls or where foil pack meals are prepared for missile site meals.</t>
  </si>
  <si>
    <t>Facility designed to provide meal preparation for in-flight meals. Functional space area includes storage area, food preparation area, assembly and issue area, and building support area.</t>
  </si>
  <si>
    <t>Facility designed to house unaccompanied officer personnel, comparable-grade civilian employees ineligible for assignment to family housing. Room configuration consists of a combination living room/bedroom, private bath, and kitchen.</t>
  </si>
  <si>
    <t>Facility designed to house unaccompanied visiting officer personnel or civilian equivalents. Room configuration consists of a combination living room/bedroom, private bath, and kitchen.</t>
  </si>
  <si>
    <t>Facility designed to house cadets who attend either the U.S. Air Force Academy, Officer Training School, or Reserve Officer Training School.</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</si>
  <si>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</si>
  <si>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</si>
  <si>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Facility designed to provide weather protection for the storage of fire hoses, nozzles, and associated equipment.</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</si>
  <si>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</si>
  <si>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Facility designed for support of base dining facilities by performing supplemental baking needs. Functional space area includes food preparation area, restrooms, and building support area.</t>
  </si>
  <si>
    <t>Facility designed to provide both laundry and dry cleaning service to government organizations and individuals.</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</si>
  <si>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</si>
  <si>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</si>
  <si>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 xml:space="preserve">This facility provides space for customers to select clothing and try it on to insure proper fit and appearance. </t>
  </si>
  <si>
    <t>Privately-Owned Vehicle Inspection Station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</si>
  <si>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</si>
  <si>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This facility includes narthex, ark, chancel with altar, pulpit, lectern, sedalia, nave, nave pews, choir with pews, pew screens, choir and chaplain’s sacristy, refectory, personnel offices, confessionals, blessed sacrament room, restrooms, and services rooms.</t>
  </si>
  <si>
    <t>This religious facility includes classrooms for not less than four departments with semi- permanent partitions and movable partitions, kitchen, storage room, administrative offices, restrooms, and services rooms.</t>
  </si>
  <si>
    <t>This facility serves patients and staff personnel on duty within composite medical facilities, and includes a altar, pulpit, sedilia, nave with pews (and open space for wheelchairs), sacristy, confessional, and chaplain and chaplain services personnel offices.</t>
  </si>
  <si>
    <t>This code applies to three types of facilities for the support of its associated school  (direct classrooms, dining hall and dormitory, and central school operation).</t>
  </si>
  <si>
    <t>Educational facility designed to accommodate children in kindergarten (K) through grade 12.</t>
  </si>
  <si>
    <t>Facility designed to accommodate pre-kindergarten children. Since this facility is not part of the DoD overseas school system, the code is generally used to identify existing space used for this purpose.</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</si>
  <si>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</si>
  <si>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"Overwatch" facility designed to provide secure defensive positions for Security Police personnel when required.  Security threat analysis required to determine ballistic protection level.</t>
  </si>
  <si>
    <t>Facility designed for use as the law enforcement center at the installation level. Functional space areas include space for control elements, law enforcement, resource protection functions, and base information security.</t>
  </si>
  <si>
    <t>Facility designed to accommodate static reaction Security Force personnel consisting of one or two 4-man teams at locations where surety weapons are located.</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</si>
  <si>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</si>
  <si>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Shopping center under one roof that combines the elements of a community shopping center with the main Base Exchange, Exchange outlets, Commissary, Credit Union, and Bank.</t>
  </si>
  <si>
    <t>Facility designed to provide similar service as the bank above; however, the facility is private and not under the control of DoD.</t>
  </si>
  <si>
    <t>This facility is provided for the purpose of providing military members and their family information on passports, voting, legal matters, insurance, retirement, military separation, career counseling, loans , etc.</t>
  </si>
  <si>
    <t>Includes cadet clothing issue, barber/beauty shops, and any concession type stores operated by cadet MWR.</t>
  </si>
  <si>
    <t>Facility designed to provide Air Force installation patrons with package store service. Functional space areas include a stockroom, a sales area, small office, restrooms, and building support area.</t>
  </si>
  <si>
    <t>Facility designed for use in support of animal disease control. Functional space area includes administrative space, reception area, examination/treatment room, surgery, holding area for animals, and building support.</t>
  </si>
  <si>
    <t xml:space="preserve">This facility includes land and building space. The building includes space for offices, storage and sales areas, gun and ammunition maintenance, projector area, restrooms, and lounge. </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</si>
  <si>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</si>
  <si>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Facility which combines coin operated games with refreshments and snacks. Functional spaces include game area, food and drink vending machines, a small snack counter, and restrooms.</t>
  </si>
  <si>
    <t>Cafeteria snack bar facilities that are provided in conjunction with the main Base Exchange, overseas community shopping centers, Exchange snack stands, or flightline snack bars. This includes AAFES operated brand name fast food restaurants.</t>
  </si>
  <si>
    <t>Facility designed to provide Air Force installation patrons with material goods shopping stores at installations where the military family housing area is located remote from the main Base Exchange and where the military strength is 2,500 or more.</t>
  </si>
  <si>
    <t>Facility designed as a repair shop for damaged Base Exchange equipment and fixtures.</t>
  </si>
  <si>
    <t>The main administrative offices of the local Base Exchange operations.</t>
  </si>
  <si>
    <t>Facility designed for holding and storage of exchange merchandise required in addition to the main Base Exchange store storage capabilities.</t>
  </si>
  <si>
    <t>Facility designed as the main Base Exchange retail store on the Air Force installation. Functional space areas include sales area, administrative offices, stock room, and building support area.</t>
  </si>
  <si>
    <t>Special sales and service outlets considered branches of the main Base Exchange.</t>
  </si>
  <si>
    <t>Those facilities or areas such as food processing (i.e. central kitchen) or depots, bakeries, refrigerated storage plants, central repair shops, or processing plants that are extensions of the main facilities.</t>
  </si>
  <si>
    <t>Facility designed to provide short term temporary housing accommodation for military members, their dependents, relatives, &amp; guests, including hospital visitors.</t>
  </si>
  <si>
    <t>​Fitness rooms are unit specific stand-alone facility space that is separate from a Gymnasium - CATCode 740674. Typically with cardio equipment, weight machines, free weights, and/or climbing walls.</t>
  </si>
  <si>
    <t>TLF’s are required to provide short term temporary housing accommodation for military members, their dependents, relatives &amp; guests, including hospital visitors.</t>
  </si>
  <si>
    <t>This facility hosts various support functions for TLF’s whenever these functions are not or cannot be incorporated within the main structure. These functions may include administration, lounge, launderette, mechanical equipment space or a custodial room.</t>
  </si>
  <si>
    <t>Open Mess facility for lower grade enlisted personnel.</t>
  </si>
  <si>
    <t>Open Mess facility for both officer and enlisted personnel. Where officers and enlisted share all functional areas, except having separate bars.</t>
  </si>
  <si>
    <t>Open Mess facility for non-commissioned officers.</t>
  </si>
  <si>
    <t>Open Mess facility designed for Air Force officer rank personnel. Functional space area is the same as for Enlisted Open Mess, but may include more meeting rooms and different sized rooms depending on the base population.</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</si>
  <si>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</si>
  <si>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This facility is required for storing and issuing books and pamphlets, periodicals newspapers, maps, records, music scores and similar materials for the educational and recreational benefit of the military personnel and their dependents.</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</si>
  <si>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</si>
  <si>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*Criteria labeles this as CC 890271</t>
  </si>
  <si>
    <r>
      <t xml:space="preserve">This facility includes refrigerated and dry storage space, food preparation and support space, dining room space, washing room, </t>
    </r>
    <r>
      <rPr>
        <sz val="11"/>
        <color rgb="FFFF0000"/>
        <rFont val="Calibri"/>
        <family val="2"/>
        <scheme val="minor"/>
      </rPr>
      <t>protected, washing-way,</t>
    </r>
    <r>
      <rPr>
        <sz val="11"/>
        <color rgb="FF000000"/>
        <rFont val="Calibri"/>
        <family val="2"/>
        <scheme val="minor"/>
      </rPr>
      <t xml:space="preserve"> and patron restrooms.</t>
    </r>
  </si>
  <si>
    <r>
      <t xml:space="preserve">Those facilities designed for housing a mixture of officer and enlisted personnel who are deployed on training exercises. These facilities provide bare minimum shelter which does not meet criteria for Dormitory space as defined in </t>
    </r>
    <r>
      <rPr>
        <sz val="11"/>
        <color rgb="FFFF0000"/>
        <rFont val="Calibri"/>
        <family val="2"/>
        <scheme val="minor"/>
      </rPr>
      <t>AFH 32-1084</t>
    </r>
    <r>
      <rPr>
        <sz val="11"/>
        <color rgb="FF000000"/>
        <rFont val="Calibri"/>
        <family val="2"/>
        <scheme val="minor"/>
      </rPr>
      <t>.</t>
    </r>
  </si>
  <si>
    <r>
      <t xml:space="preserve">Tower and communication center dedicated to fire and emergency rescue protection for pilots and aircraft. A separate facility from Fire Station, CATCode  730142.  </t>
    </r>
    <r>
      <rPr>
        <sz val="11"/>
        <color rgb="FFFF0000"/>
        <rFont val="Calibri"/>
        <family val="2"/>
        <scheme val="minor"/>
      </rPr>
      <t>See AFH 32-1084 for criteria.</t>
    </r>
  </si>
  <si>
    <r>
      <t xml:space="preserve">This facility will comply with AFM 38-209. See </t>
    </r>
    <r>
      <rPr>
        <sz val="11"/>
        <color rgb="FFFF0000"/>
        <rFont val="Calibri"/>
        <family val="2"/>
        <scheme val="minor"/>
      </rPr>
      <t>AFH 32-1084</t>
    </r>
    <r>
      <rPr>
        <sz val="11"/>
        <color rgb="FF000000"/>
        <rFont val="Calibri"/>
        <family val="2"/>
        <scheme val="minor"/>
      </rPr>
      <t xml:space="preserve"> for criteria.</t>
    </r>
  </si>
  <si>
    <r>
      <t xml:space="preserve">The Entry Control Facility (ECF) is designed to support Security Forces in managing access to and from critical restricted areas </t>
    </r>
    <r>
      <rPr>
        <u/>
        <sz val="11"/>
        <color rgb="FF000000"/>
        <rFont val="Calibri"/>
        <family val="2"/>
        <scheme val="minor"/>
      </rPr>
      <t>within</t>
    </r>
    <r>
      <rPr>
        <sz val="11"/>
        <color rgb="FF000000"/>
        <rFont val="Calibri"/>
        <family val="2"/>
        <scheme val="minor"/>
      </rPr>
      <t xml:space="preserve"> the installation. These areas may include surety weapon storage locations, alert aircraft areas, and other restricted zones deemed essential for critical mission requirements.</t>
    </r>
  </si>
  <si>
    <t>https://www.wbdg.org/FFC/AF/AFMAN/610913_Emergency_Management.pdf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</si>
</sst>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0.0%"/>
    <numFmt numFmtId="168" formatCode="[$-409]dd\-mmm\-yy;@"/>
  </numFmts>
  <fonts count="73"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b/>
      <sz val="12"/>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font>
    <font>
      <sz val="11"/>
      <color theme="1"/>
      <name val="Calibri"/>
      <family val="2"/>
      <scheme val="minor"/>
    </font>
    <font>
      <u/>
      <sz val="11"/>
      <color theme="10"/>
      <name val="Calibri"/>
      <family val="2"/>
      <scheme val="minor"/>
    </font>
    <font>
      <b/>
      <u/>
      <sz val="12"/>
      <color theme="0"/>
      <name val="Calibri"/>
      <family val="2"/>
      <scheme val="minor"/>
    </font>
    <font>
      <b/>
      <i/>
      <sz val="11"/>
      <color theme="1"/>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11"/>
      <color rgb="FFFF0000"/>
      <name val="Calibri"/>
      <family val="2"/>
      <scheme val="minor"/>
    </font>
    <font>
      <sz val="10"/>
      <name val="Arial"/>
      <family val="2"/>
    </font>
    <font>
      <b/>
      <sz val="9"/>
      <color indexed="10"/>
      <name val="Arial Narrow"/>
      <family val="2"/>
    </font>
    <font>
      <b/>
      <sz val="10"/>
      <name val="Arial"/>
      <family val="2"/>
    </font>
    <font>
      <b/>
      <sz val="12"/>
      <name val="Arial"/>
      <family val="2"/>
    </font>
    <font>
      <b/>
      <u/>
      <sz val="10"/>
      <name val="Arial"/>
      <family val="2"/>
    </font>
    <font>
      <b/>
      <sz val="13"/>
      <name val="Arial Narrow"/>
      <family val="2"/>
    </font>
    <font>
      <u/>
      <sz val="7"/>
      <name val="Arial"/>
      <family val="2"/>
    </font>
    <font>
      <b/>
      <sz val="10.5"/>
      <name val="Arial Narrow"/>
      <family val="2"/>
    </font>
    <font>
      <b/>
      <u/>
      <sz val="10.5"/>
      <name val="Arial Narrow"/>
      <family val="2"/>
    </font>
    <font>
      <sz val="10.5"/>
      <name val="Arial Narrow"/>
      <family val="2"/>
    </font>
    <font>
      <sz val="8"/>
      <name val="Arial"/>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sz val="10"/>
      <name val="Arial"/>
      <family val="2"/>
    </font>
    <font>
      <b/>
      <sz val="8"/>
      <color indexed="10"/>
      <name val="Arial"/>
      <family val="2"/>
    </font>
    <font>
      <b/>
      <sz val="10"/>
      <name val="Arial Narrow"/>
      <family val="2"/>
    </font>
    <font>
      <sz val="10.5"/>
      <name val="Arial Narrow"/>
      <family val="2"/>
    </font>
    <font>
      <b/>
      <sz val="10.5"/>
      <name val="Arial Narrow"/>
      <family val="2"/>
    </font>
    <font>
      <sz val="8"/>
      <name val="Arial"/>
      <family val="2"/>
    </font>
    <font>
      <sz val="10"/>
      <color theme="0"/>
      <name val="Arial Narrow"/>
      <family val="2"/>
    </font>
    <font>
      <b/>
      <sz val="8"/>
      <color rgb="FFFF3300"/>
      <name val="Arial"/>
      <family val="2"/>
    </font>
    <font>
      <b/>
      <sz val="10"/>
      <color theme="0"/>
      <name val="Arial Narrow"/>
      <family val="2"/>
    </font>
    <font>
      <sz val="10"/>
      <color theme="0"/>
      <name val="Arial"/>
      <family val="2"/>
    </font>
    <font>
      <sz val="8"/>
      <name val="Calibri"/>
      <family val="2"/>
      <scheme val="minor"/>
    </font>
    <font>
      <b/>
      <sz val="14"/>
      <name val="Calibri"/>
      <family val="2"/>
      <scheme val="minor"/>
    </font>
    <font>
      <sz val="10"/>
      <color indexed="8"/>
      <name val="Arial"/>
      <family val="2"/>
    </font>
    <font>
      <u/>
      <sz val="11"/>
      <color theme="10"/>
      <name val="Calibri"/>
      <family val="2"/>
    </font>
    <font>
      <u/>
      <sz val="11"/>
      <name val="Times New Roman"/>
      <family val="1"/>
    </font>
    <font>
      <strike/>
      <sz val="11"/>
      <name val="Times New Roman"/>
      <family val="1"/>
    </font>
    <font>
      <b/>
      <sz val="12"/>
      <color rgb="FF000000"/>
      <name val="Times New Roman"/>
      <family val="1"/>
    </font>
    <font>
      <b/>
      <vertAlign val="superscript"/>
      <sz val="12"/>
      <color rgb="FF000000"/>
      <name val="Times New Roman"/>
      <family val="1"/>
    </font>
    <font>
      <b/>
      <sz val="12"/>
      <color theme="1"/>
      <name val="Times New Roman"/>
      <family val="1"/>
    </font>
    <font>
      <sz val="12"/>
      <color theme="1"/>
      <name val="Times New Roman"/>
      <family val="1"/>
    </font>
    <font>
      <sz val="7"/>
      <color theme="1"/>
      <name val="Times New Roman"/>
      <family val="1"/>
    </font>
    <font>
      <b/>
      <sz val="12"/>
      <name val="Times New Roman"/>
      <family val="1"/>
    </font>
    <font>
      <sz val="12"/>
      <name val="Times New Roman"/>
      <family val="1"/>
    </font>
    <font>
      <sz val="12"/>
      <name val="Calibri"/>
      <family val="2"/>
      <scheme val="minor"/>
    </font>
    <font>
      <sz val="11"/>
      <color rgb="FF000000"/>
      <name val="Calibri"/>
      <family val="2"/>
      <scheme val="minor"/>
    </font>
    <font>
      <b/>
      <sz val="11"/>
      <color rgb="FFFFFFFF"/>
      <name val="Calibri"/>
      <family val="2"/>
      <scheme val="minor"/>
    </font>
    <font>
      <u/>
      <sz val="11"/>
      <color rgb="FF000000"/>
      <name val="Calibri"/>
      <family val="2"/>
      <scheme val="minor"/>
    </font>
    <font>
      <sz val="11"/>
      <color theme="1"/>
      <name val="Times New Roman"/>
      <family val="1"/>
    </font>
  </fonts>
  <fills count="21">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41"/>
        <bgColor indexed="64"/>
      </patternFill>
    </fill>
    <fill>
      <patternFill patternType="solid">
        <fgColor rgb="FFFFC000"/>
        <bgColor indexed="64"/>
      </patternFill>
    </fill>
    <fill>
      <patternFill patternType="solid">
        <fgColor rgb="FFD9D9D9"/>
        <bgColor indexed="64"/>
      </patternFill>
    </fill>
    <fill>
      <patternFill patternType="solid">
        <fgColor rgb="FFFFFF00"/>
        <bgColor rgb="FF000000"/>
      </patternFill>
    </fill>
  </fills>
  <borders count="59">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medium">
        <color indexed="64"/>
      </right>
      <top/>
      <bottom style="medium">
        <color indexed="64"/>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right style="thin">
        <color theme="0"/>
      </right>
      <top/>
      <bottom style="thin">
        <color indexed="64"/>
      </bottom>
      <diagonal/>
    </border>
    <border>
      <left style="thin">
        <color theme="0"/>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theme="4" tint="0.39997558519241921"/>
      </left>
      <right style="thin">
        <color theme="4" tint="0.39997558519241921"/>
      </right>
      <top/>
      <bottom style="thin">
        <color theme="4" tint="0.39997558519241921"/>
      </bottom>
      <diagonal/>
    </border>
    <border>
      <left/>
      <right style="thin">
        <color theme="2"/>
      </right>
      <top/>
      <bottom/>
      <diagonal/>
    </border>
    <border>
      <left style="thin">
        <color theme="2"/>
      </left>
      <right style="thin">
        <color theme="2"/>
      </right>
      <top/>
      <bottom style="thin">
        <color theme="2"/>
      </bottom>
      <diagonal/>
    </border>
    <border>
      <left/>
      <right style="thin">
        <color theme="2"/>
      </right>
      <top/>
      <bottom style="thin">
        <color theme="2"/>
      </bottom>
      <diagonal/>
    </border>
    <border>
      <left/>
      <right/>
      <top/>
      <bottom style="thin">
        <color theme="2"/>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s>
  <cellStyleXfs count="12">
    <xf numFmtId="0" fontId="0" fillId="0" borderId="0"/>
    <xf numFmtId="43" fontId="15" fillId="0" borderId="0" applyFont="0" applyFill="0" applyBorder="0" applyAlignment="0" applyProtection="0"/>
    <xf numFmtId="0" fontId="16" fillId="0" borderId="0" applyNumberFormat="0" applyFill="0" applyBorder="0" applyAlignment="0" applyProtection="0"/>
    <xf numFmtId="0" fontId="19" fillId="0" borderId="0"/>
    <xf numFmtId="44" fontId="19" fillId="0" borderId="0" applyFont="0" applyFill="0" applyBorder="0" applyAlignment="0" applyProtection="0"/>
    <xf numFmtId="0" fontId="19" fillId="0" borderId="0"/>
    <xf numFmtId="0" fontId="24" fillId="0" borderId="0"/>
    <xf numFmtId="9" fontId="15" fillId="0" borderId="0" applyFont="0" applyFill="0" applyBorder="0" applyAlignment="0" applyProtection="0"/>
    <xf numFmtId="0" fontId="26" fillId="0" borderId="0"/>
    <xf numFmtId="168" fontId="57" fillId="0" borderId="0"/>
    <xf numFmtId="43" fontId="19" fillId="0" borderId="0" applyFont="0" applyFill="0" applyBorder="0" applyAlignment="0" applyProtection="0"/>
    <xf numFmtId="0" fontId="58" fillId="0" borderId="0" applyNumberFormat="0" applyFill="0" applyBorder="0" applyAlignment="0" applyProtection="0"/>
  </cellStyleXfs>
  <cellXfs count="481">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10" fillId="0" borderId="0" xfId="0" applyFont="1" applyAlignment="1">
      <alignment vertical="center" wrapText="1"/>
    </xf>
    <xf numFmtId="0" fontId="12" fillId="0" borderId="0" xfId="0" applyFont="1" applyAlignment="1">
      <alignment vertical="center" wrapText="1"/>
    </xf>
    <xf numFmtId="3" fontId="6" fillId="5" borderId="4" xfId="0" applyNumberFormat="1" applyFont="1" applyFill="1" applyBorder="1" applyAlignment="1">
      <alignment horizontal="center" vertical="center" wrapText="1"/>
    </xf>
    <xf numFmtId="3" fontId="0" fillId="0" borderId="0" xfId="0" applyNumberFormat="1" applyAlignment="1">
      <alignment vertical="center" wrapText="1"/>
    </xf>
    <xf numFmtId="3" fontId="0" fillId="0" borderId="0" xfId="0" applyNumberFormat="1" applyAlignment="1">
      <alignment horizontal="center" vertical="center" wrapText="1"/>
    </xf>
    <xf numFmtId="0" fontId="14" fillId="0" borderId="0" xfId="0" applyFont="1" applyAlignment="1">
      <alignment vertical="center" wrapText="1"/>
    </xf>
    <xf numFmtId="0" fontId="2" fillId="5" borderId="1" xfId="0" applyFont="1" applyFill="1" applyBorder="1" applyAlignment="1">
      <alignment horizontal="left" vertical="center" wrapText="1"/>
    </xf>
    <xf numFmtId="3" fontId="2" fillId="5" borderId="2" xfId="0" applyNumberFormat="1" applyFont="1" applyFill="1" applyBorder="1" applyAlignment="1">
      <alignment vertical="center" wrapText="1"/>
    </xf>
    <xf numFmtId="3" fontId="5" fillId="0" borderId="0" xfId="0" applyNumberFormat="1" applyFont="1" applyAlignment="1">
      <alignment horizontal="center" vertical="center" wrapText="1"/>
    </xf>
    <xf numFmtId="3" fontId="5" fillId="0" borderId="0" xfId="0" quotePrefix="1" applyNumberFormat="1" applyFont="1" applyAlignment="1">
      <alignment horizontal="left" vertical="center" wrapText="1"/>
    </xf>
    <xf numFmtId="0" fontId="5" fillId="0" borderId="0" xfId="0" applyFont="1" applyAlignment="1">
      <alignment vertical="center" wrapText="1"/>
    </xf>
    <xf numFmtId="0" fontId="0" fillId="0" borderId="0" xfId="0" applyAlignment="1">
      <alignment horizontal="righ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9" borderId="5" xfId="0" applyFont="1" applyFill="1" applyBorder="1" applyAlignment="1">
      <alignment horizontal="center"/>
    </xf>
    <xf numFmtId="0" fontId="1" fillId="9" borderId="6" xfId="0" applyFont="1" applyFill="1" applyBorder="1" applyAlignment="1">
      <alignment horizontal="center"/>
    </xf>
    <xf numFmtId="0" fontId="1" fillId="9" borderId="6" xfId="0" applyFont="1" applyFill="1" applyBorder="1" applyAlignment="1">
      <alignment horizontal="left"/>
    </xf>
    <xf numFmtId="0" fontId="5" fillId="0" borderId="0" xfId="0" applyFont="1" applyAlignment="1">
      <alignment horizontal="center"/>
    </xf>
    <xf numFmtId="0" fontId="0" fillId="0" borderId="0" xfId="0" applyAlignment="1" applyProtection="1">
      <alignment vertical="center" wrapText="1"/>
      <protection locked="0"/>
    </xf>
    <xf numFmtId="0" fontId="10"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23" fillId="0" borderId="7" xfId="0" applyFont="1" applyBorder="1" applyAlignment="1">
      <alignment vertical="center" wrapText="1"/>
    </xf>
    <xf numFmtId="0" fontId="23" fillId="0" borderId="3" xfId="0" applyFont="1" applyBorder="1" applyAlignment="1">
      <alignment vertical="center" wrapText="1"/>
    </xf>
    <xf numFmtId="0" fontId="1" fillId="9" borderId="0" xfId="0" applyFont="1" applyFill="1"/>
    <xf numFmtId="0" fontId="1" fillId="9" borderId="0" xfId="0" applyFont="1" applyFill="1" applyAlignment="1">
      <alignment horizontal="center"/>
    </xf>
    <xf numFmtId="0" fontId="10" fillId="0" borderId="0" xfId="0" applyFont="1"/>
    <xf numFmtId="0" fontId="0" fillId="0" borderId="0" xfId="0" applyAlignment="1">
      <alignment vertical="center"/>
    </xf>
    <xf numFmtId="0" fontId="23" fillId="0" borderId="0" xfId="0" applyFont="1" applyAlignment="1">
      <alignment vertical="center" wrapText="1"/>
    </xf>
    <xf numFmtId="0" fontId="0" fillId="0" borderId="8" xfId="0" applyBorder="1"/>
    <xf numFmtId="0" fontId="22" fillId="2" borderId="7" xfId="0" applyFont="1" applyFill="1" applyBorder="1" applyAlignment="1">
      <alignment vertical="center"/>
    </xf>
    <xf numFmtId="0" fontId="0" fillId="0" borderId="0" xfId="0" applyAlignment="1">
      <alignment vertical="top"/>
    </xf>
    <xf numFmtId="0" fontId="26" fillId="14" borderId="0" xfId="0" applyFont="1" applyFill="1"/>
    <xf numFmtId="0" fontId="26" fillId="0" borderId="0" xfId="0" applyFont="1"/>
    <xf numFmtId="0" fontId="26" fillId="16" borderId="0" xfId="0" applyFont="1" applyFill="1"/>
    <xf numFmtId="0" fontId="26" fillId="16" borderId="0" xfId="0" applyFont="1" applyFill="1" applyProtection="1">
      <protection locked="0"/>
    </xf>
    <xf numFmtId="0" fontId="26" fillId="0" borderId="0" xfId="0" applyFont="1" applyAlignment="1">
      <alignment horizontal="center"/>
    </xf>
    <xf numFmtId="3" fontId="28" fillId="0" borderId="0" xfId="0" applyNumberFormat="1" applyFont="1" applyAlignment="1">
      <alignment horizontal="right"/>
    </xf>
    <xf numFmtId="0" fontId="26" fillId="0" borderId="0" xfId="0" applyFont="1" applyProtection="1">
      <protection locked="0"/>
    </xf>
    <xf numFmtId="0" fontId="30" fillId="0" borderId="0" xfId="0" applyFont="1"/>
    <xf numFmtId="0" fontId="26" fillId="14" borderId="10" xfId="0" applyFont="1" applyFill="1" applyBorder="1" applyAlignment="1">
      <alignment horizontal="left" vertical="center"/>
    </xf>
    <xf numFmtId="0" fontId="26" fillId="14" borderId="11" xfId="0" applyFont="1" applyFill="1" applyBorder="1" applyAlignment="1">
      <alignment horizontal="left" vertical="center"/>
    </xf>
    <xf numFmtId="0" fontId="26" fillId="0" borderId="11" xfId="0" applyFont="1" applyBorder="1" applyAlignment="1">
      <alignment horizontal="left" vertical="center"/>
    </xf>
    <xf numFmtId="0" fontId="26" fillId="14" borderId="11" xfId="0" applyFont="1" applyFill="1" applyBorder="1"/>
    <xf numFmtId="0" fontId="26" fillId="14" borderId="12" xfId="0" applyFont="1" applyFill="1" applyBorder="1"/>
    <xf numFmtId="0" fontId="31" fillId="14" borderId="13" xfId="0" applyFont="1" applyFill="1" applyBorder="1" applyAlignment="1">
      <alignment horizontal="left" vertical="center"/>
    </xf>
    <xf numFmtId="0" fontId="28" fillId="14" borderId="0" xfId="0" applyFont="1" applyFill="1" applyAlignment="1">
      <alignment horizontal="left" vertical="center"/>
    </xf>
    <xf numFmtId="0" fontId="26" fillId="17" borderId="9" xfId="0" applyFont="1" applyFill="1" applyBorder="1" applyAlignment="1" applyProtection="1">
      <alignment horizontal="center" vertical="center"/>
      <protection locked="0"/>
    </xf>
    <xf numFmtId="0" fontId="29" fillId="14" borderId="0" xfId="0" applyFont="1" applyFill="1" applyAlignment="1">
      <alignment horizontal="left" vertical="center"/>
    </xf>
    <xf numFmtId="0" fontId="28" fillId="14" borderId="0" xfId="0" applyFont="1" applyFill="1" applyAlignment="1">
      <alignment horizontal="center" vertical="center"/>
    </xf>
    <xf numFmtId="0" fontId="26" fillId="14" borderId="14" xfId="0" applyFont="1" applyFill="1" applyBorder="1"/>
    <xf numFmtId="0" fontId="26" fillId="0" borderId="7" xfId="0" applyFont="1" applyBorder="1" applyProtection="1">
      <protection locked="0"/>
    </xf>
    <xf numFmtId="0" fontId="32" fillId="0" borderId="0" xfId="0" applyFont="1" applyAlignment="1" applyProtection="1">
      <alignment horizontal="center"/>
      <protection locked="0"/>
    </xf>
    <xf numFmtId="0" fontId="28" fillId="14" borderId="15" xfId="0" applyFont="1" applyFill="1" applyBorder="1" applyAlignment="1">
      <alignment horizontal="left" vertical="center"/>
    </xf>
    <xf numFmtId="0" fontId="28" fillId="14" borderId="9" xfId="0" applyFont="1" applyFill="1" applyBorder="1" applyAlignment="1">
      <alignment horizontal="left" vertical="center"/>
    </xf>
    <xf numFmtId="0" fontId="26" fillId="0" borderId="9" xfId="0" applyFont="1" applyBorder="1" applyAlignment="1">
      <alignment horizontal="center" vertical="center"/>
    </xf>
    <xf numFmtId="0" fontId="26" fillId="14" borderId="9" xfId="0" applyFont="1" applyFill="1" applyBorder="1" applyAlignment="1">
      <alignment horizontal="center" vertical="center"/>
    </xf>
    <xf numFmtId="0" fontId="26" fillId="14" borderId="9" xfId="0" applyFont="1" applyFill="1" applyBorder="1"/>
    <xf numFmtId="0" fontId="33" fillId="14" borderId="9" xfId="0" applyFont="1" applyFill="1" applyBorder="1" applyAlignment="1">
      <alignment horizontal="center" vertical="center"/>
    </xf>
    <xf numFmtId="0" fontId="33" fillId="14" borderId="16" xfId="0" applyFont="1" applyFill="1" applyBorder="1" applyAlignment="1">
      <alignment horizontal="center" vertical="center"/>
    </xf>
    <xf numFmtId="0" fontId="26" fillId="14" borderId="13" xfId="0" applyFont="1" applyFill="1" applyBorder="1"/>
    <xf numFmtId="0" fontId="34" fillId="14" borderId="13" xfId="0" applyFont="1" applyFill="1" applyBorder="1"/>
    <xf numFmtId="0" fontId="28" fillId="14" borderId="0" xfId="0" applyFont="1" applyFill="1"/>
    <xf numFmtId="0" fontId="26" fillId="15" borderId="9" xfId="0" applyFont="1" applyFill="1" applyBorder="1" applyAlignment="1" applyProtection="1">
      <alignment horizontal="center"/>
      <protection locked="0"/>
    </xf>
    <xf numFmtId="0" fontId="35" fillId="14" borderId="0" xfId="0" applyFont="1" applyFill="1" applyAlignment="1">
      <alignment horizontal="right"/>
    </xf>
    <xf numFmtId="2" fontId="26" fillId="14" borderId="0" xfId="0" applyNumberFormat="1" applyFont="1" applyFill="1" applyAlignment="1">
      <alignment horizontal="right" vertical="center"/>
    </xf>
    <xf numFmtId="3" fontId="26" fillId="0" borderId="14" xfId="0" applyNumberFormat="1" applyFont="1" applyBorder="1" applyAlignment="1">
      <alignment horizontal="right" vertical="center"/>
    </xf>
    <xf numFmtId="0" fontId="28" fillId="14" borderId="15" xfId="0" applyFont="1" applyFill="1" applyBorder="1"/>
    <xf numFmtId="0" fontId="35" fillId="14" borderId="9" xfId="0" applyFont="1" applyFill="1" applyBorder="1" applyAlignment="1">
      <alignment horizontal="right"/>
    </xf>
    <xf numFmtId="2" fontId="26" fillId="14" borderId="9" xfId="0" applyNumberFormat="1" applyFont="1" applyFill="1" applyBorder="1" applyAlignment="1">
      <alignment horizontal="center" vertical="center"/>
    </xf>
    <xf numFmtId="3" fontId="26" fillId="14" borderId="16" xfId="0" applyNumberFormat="1" applyFont="1" applyFill="1" applyBorder="1" applyAlignment="1">
      <alignment horizontal="right" vertical="center"/>
    </xf>
    <xf numFmtId="0" fontId="35" fillId="14" borderId="0" xfId="0" applyFont="1" applyFill="1"/>
    <xf numFmtId="3" fontId="26" fillId="14" borderId="14" xfId="0" applyNumberFormat="1" applyFont="1" applyFill="1" applyBorder="1" applyAlignment="1">
      <alignment horizontal="right" vertical="center"/>
    </xf>
    <xf numFmtId="0" fontId="26" fillId="0" borderId="0" xfId="0" quotePrefix="1" applyFont="1" applyProtection="1">
      <protection locked="0"/>
    </xf>
    <xf numFmtId="0" fontId="26" fillId="14" borderId="0" xfId="0" applyFont="1" applyFill="1" applyAlignment="1">
      <alignment horizontal="center"/>
    </xf>
    <xf numFmtId="0" fontId="33" fillId="14" borderId="0" xfId="0" applyFont="1" applyFill="1"/>
    <xf numFmtId="0" fontId="26" fillId="14" borderId="0" xfId="0" applyFont="1" applyFill="1" applyAlignment="1" applyProtection="1">
      <alignment horizontal="center"/>
      <protection locked="0"/>
    </xf>
    <xf numFmtId="0" fontId="26" fillId="15" borderId="0" xfId="0" applyFont="1" applyFill="1" applyAlignment="1" applyProtection="1">
      <alignment horizontal="center"/>
      <protection locked="0"/>
    </xf>
    <xf numFmtId="0" fontId="28" fillId="14" borderId="0" xfId="1" applyNumberFormat="1" applyFont="1" applyFill="1" applyBorder="1" applyAlignment="1" applyProtection="1">
      <alignment horizontal="center" vertical="center" wrapText="1"/>
    </xf>
    <xf numFmtId="0" fontId="28" fillId="14" borderId="14" xfId="1" applyNumberFormat="1" applyFont="1" applyFill="1" applyBorder="1" applyAlignment="1" applyProtection="1">
      <alignment horizontal="center" vertical="center" wrapText="1"/>
    </xf>
    <xf numFmtId="0" fontId="33" fillId="14" borderId="13" xfId="0" applyFont="1" applyFill="1" applyBorder="1"/>
    <xf numFmtId="0" fontId="33" fillId="14" borderId="0" xfId="0" quotePrefix="1" applyFont="1" applyFill="1"/>
    <xf numFmtId="0" fontId="35" fillId="14" borderId="0" xfId="0" applyFont="1" applyFill="1" applyAlignment="1">
      <alignment horizontal="center"/>
    </xf>
    <xf numFmtId="0" fontId="28" fillId="14" borderId="15" xfId="0" applyFont="1" applyFill="1" applyBorder="1" applyAlignment="1">
      <alignment horizontal="left" indent="1"/>
    </xf>
    <xf numFmtId="0" fontId="33" fillId="14" borderId="9" xfId="0" applyFont="1" applyFill="1" applyBorder="1" applyAlignment="1">
      <alignment horizontal="right" vertical="center"/>
    </xf>
    <xf numFmtId="0" fontId="33" fillId="14" borderId="9" xfId="0" applyFont="1" applyFill="1" applyBorder="1" applyAlignment="1">
      <alignment horizontal="right" vertical="center" indent="1"/>
    </xf>
    <xf numFmtId="1" fontId="28" fillId="14" borderId="17" xfId="1" applyNumberFormat="1" applyFont="1" applyFill="1" applyBorder="1" applyAlignment="1" applyProtection="1">
      <alignment horizontal="center" vertical="center" wrapText="1"/>
    </xf>
    <xf numFmtId="0" fontId="28" fillId="14" borderId="13" xfId="0" applyFont="1" applyFill="1" applyBorder="1" applyAlignment="1">
      <alignment horizontal="left" indent="1"/>
    </xf>
    <xf numFmtId="0" fontId="28" fillId="14" borderId="0" xfId="0" applyFont="1" applyFill="1" applyAlignment="1">
      <alignment horizontal="left" wrapText="1"/>
    </xf>
    <xf numFmtId="2" fontId="26" fillId="14" borderId="0" xfId="0" applyNumberFormat="1" applyFont="1" applyFill="1" applyAlignment="1">
      <alignment horizontal="center" vertical="center"/>
    </xf>
    <xf numFmtId="0" fontId="35" fillId="14" borderId="0" xfId="0" applyFont="1" applyFill="1" applyAlignment="1">
      <alignment horizontal="left" indent="1"/>
    </xf>
    <xf numFmtId="0" fontId="35" fillId="0" borderId="7" xfId="0" applyFont="1" applyBorder="1" applyAlignment="1" applyProtection="1">
      <alignment horizontal="center"/>
      <protection locked="0"/>
    </xf>
    <xf numFmtId="0" fontId="35" fillId="14" borderId="0" xfId="0" quotePrefix="1" applyFont="1" applyFill="1" applyAlignment="1">
      <alignment horizontal="left" indent="1"/>
    </xf>
    <xf numFmtId="0" fontId="35" fillId="0" borderId="7" xfId="0" quotePrefix="1" applyFont="1" applyBorder="1" applyAlignment="1" applyProtection="1">
      <alignment horizontal="center"/>
      <protection locked="0"/>
    </xf>
    <xf numFmtId="0" fontId="28" fillId="14" borderId="18" xfId="0" applyFont="1" applyFill="1" applyBorder="1" applyAlignment="1">
      <alignment horizontal="left" indent="1"/>
    </xf>
    <xf numFmtId="0" fontId="33" fillId="14" borderId="19" xfId="0" applyFont="1" applyFill="1" applyBorder="1" applyAlignment="1">
      <alignment horizontal="right" vertical="center"/>
    </xf>
    <xf numFmtId="0" fontId="26" fillId="14" borderId="19" xfId="0" applyFont="1" applyFill="1" applyBorder="1"/>
    <xf numFmtId="0" fontId="33" fillId="14" borderId="19" xfId="0" applyFont="1" applyFill="1" applyBorder="1" applyAlignment="1">
      <alignment horizontal="right" vertical="center" indent="1"/>
    </xf>
    <xf numFmtId="0" fontId="28" fillId="14" borderId="20" xfId="1" applyNumberFormat="1" applyFont="1" applyFill="1" applyBorder="1" applyAlignment="1" applyProtection="1">
      <alignment horizontal="center" vertical="center" wrapText="1"/>
    </xf>
    <xf numFmtId="0" fontId="28" fillId="0" borderId="0" xfId="1" applyNumberFormat="1" applyFont="1" applyFill="1" applyBorder="1" applyAlignment="1" applyProtection="1">
      <alignment horizontal="left" vertical="center" wrapText="1"/>
    </xf>
    <xf numFmtId="0" fontId="33" fillId="14" borderId="0" xfId="0" applyFont="1" applyFill="1" applyAlignment="1">
      <alignment horizontal="right" vertical="center"/>
    </xf>
    <xf numFmtId="0" fontId="33" fillId="14" borderId="0" xfId="0" applyFont="1" applyFill="1" applyAlignment="1">
      <alignment horizontal="right" vertical="center" indent="1"/>
    </xf>
    <xf numFmtId="0" fontId="26" fillId="0" borderId="7" xfId="0" applyFont="1" applyBorder="1" applyAlignment="1" applyProtection="1">
      <alignment horizontal="center"/>
      <protection locked="0"/>
    </xf>
    <xf numFmtId="0" fontId="33" fillId="14" borderId="0" xfId="0" applyFont="1" applyFill="1" applyAlignment="1">
      <alignment horizontal="center" vertical="center"/>
    </xf>
    <xf numFmtId="0" fontId="33" fillId="14" borderId="14" xfId="0" applyFont="1" applyFill="1" applyBorder="1" applyAlignment="1">
      <alignment horizontal="center" vertical="center"/>
    </xf>
    <xf numFmtId="0" fontId="28" fillId="14" borderId="13" xfId="0" applyFont="1" applyFill="1" applyBorder="1"/>
    <xf numFmtId="0" fontId="33" fillId="14" borderId="21" xfId="0" applyFont="1" applyFill="1" applyBorder="1" applyAlignment="1">
      <alignment horizontal="center" vertical="center"/>
    </xf>
    <xf numFmtId="0" fontId="33" fillId="14" borderId="22" xfId="0" applyFont="1" applyFill="1" applyBorder="1" applyAlignment="1">
      <alignment horizontal="center" vertical="center"/>
    </xf>
    <xf numFmtId="0" fontId="33" fillId="14" borderId="0" xfId="0" applyFont="1" applyFill="1" applyAlignment="1">
      <alignment horizontal="left"/>
    </xf>
    <xf numFmtId="0" fontId="36" fillId="14" borderId="0" xfId="0" applyFont="1" applyFill="1" applyAlignment="1">
      <alignment horizontal="left"/>
    </xf>
    <xf numFmtId="0" fontId="26" fillId="14" borderId="23" xfId="0" applyFont="1" applyFill="1" applyBorder="1" applyAlignment="1">
      <alignment horizontal="right"/>
    </xf>
    <xf numFmtId="3" fontId="26" fillId="14" borderId="17" xfId="0" quotePrefix="1" applyNumberFormat="1" applyFont="1" applyFill="1" applyBorder="1" applyAlignment="1">
      <alignment horizontal="right" vertical="center"/>
    </xf>
    <xf numFmtId="0" fontId="26" fillId="0" borderId="0" xfId="0" applyFont="1" applyAlignment="1">
      <alignment horizontal="left"/>
    </xf>
    <xf numFmtId="0" fontId="26" fillId="14" borderId="0" xfId="0" applyFont="1" applyFill="1" applyAlignment="1">
      <alignment horizontal="right"/>
    </xf>
    <xf numFmtId="0" fontId="39" fillId="14" borderId="0" xfId="0" applyFont="1" applyFill="1" applyAlignment="1">
      <alignment horizontal="right" wrapText="1"/>
    </xf>
    <xf numFmtId="0" fontId="39" fillId="14" borderId="14" xfId="0" applyFont="1" applyFill="1" applyBorder="1" applyAlignment="1">
      <alignment horizontal="right" vertical="top" indent="2"/>
    </xf>
    <xf numFmtId="0" fontId="26" fillId="0" borderId="3" xfId="0" quotePrefix="1" applyFont="1" applyBorder="1" applyAlignment="1" applyProtection="1">
      <alignment horizontal="center"/>
      <protection locked="0"/>
    </xf>
    <xf numFmtId="0" fontId="40" fillId="0" borderId="0" xfId="0" applyFont="1"/>
    <xf numFmtId="3" fontId="26" fillId="0" borderId="17" xfId="0" quotePrefix="1" applyNumberFormat="1" applyFont="1" applyBorder="1" applyAlignment="1">
      <alignment horizontal="right" vertical="center"/>
    </xf>
    <xf numFmtId="3" fontId="26" fillId="0" borderId="7" xfId="0" applyNumberFormat="1" applyFont="1" applyBorder="1" applyAlignment="1" applyProtection="1">
      <alignment horizontal="center"/>
      <protection locked="0"/>
    </xf>
    <xf numFmtId="0" fontId="40" fillId="0" borderId="0" xfId="0" applyFont="1" applyAlignment="1">
      <alignment horizontal="left" vertical="top" wrapText="1"/>
    </xf>
    <xf numFmtId="0" fontId="41" fillId="14" borderId="0" xfId="0" applyFont="1" applyFill="1" applyAlignment="1">
      <alignment horizontal="right"/>
    </xf>
    <xf numFmtId="3" fontId="26" fillId="0" borderId="0" xfId="0" quotePrefix="1" applyNumberFormat="1" applyFont="1" applyAlignment="1" applyProtection="1">
      <alignment horizontal="right" vertical="center"/>
      <protection locked="0"/>
    </xf>
    <xf numFmtId="0" fontId="26" fillId="14" borderId="16" xfId="0" applyFont="1" applyFill="1" applyBorder="1"/>
    <xf numFmtId="0" fontId="33" fillId="14" borderId="0" xfId="0" applyFont="1" applyFill="1" applyAlignment="1">
      <alignment horizontal="left" indent="2"/>
    </xf>
    <xf numFmtId="0" fontId="41" fillId="14" borderId="0" xfId="0" applyFont="1" applyFill="1" applyAlignment="1">
      <alignment horizontal="left" vertical="top" wrapText="1" indent="1"/>
    </xf>
    <xf numFmtId="0" fontId="26" fillId="15" borderId="9" xfId="0" quotePrefix="1" applyFont="1" applyFill="1" applyBorder="1" applyAlignment="1" applyProtection="1">
      <alignment horizontal="center"/>
      <protection locked="0"/>
    </xf>
    <xf numFmtId="0" fontId="35" fillId="14" borderId="9" xfId="0" applyFont="1" applyFill="1" applyBorder="1"/>
    <xf numFmtId="0" fontId="35" fillId="14" borderId="0" xfId="0" applyFont="1" applyFill="1" applyAlignment="1">
      <alignment horizontal="left" indent="2"/>
    </xf>
    <xf numFmtId="0" fontId="26" fillId="0" borderId="9" xfId="0" quotePrefix="1" applyFont="1" applyBorder="1" applyProtection="1">
      <protection locked="0"/>
    </xf>
    <xf numFmtId="3" fontId="26" fillId="0" borderId="17" xfId="0" applyNumberFormat="1" applyFont="1" applyBorder="1" applyAlignment="1">
      <alignment horizontal="right" vertical="center"/>
    </xf>
    <xf numFmtId="0" fontId="36" fillId="14" borderId="0" xfId="0" quotePrefix="1" applyFont="1" applyFill="1" applyAlignment="1">
      <alignment vertical="top" wrapText="1"/>
    </xf>
    <xf numFmtId="3" fontId="26" fillId="14" borderId="14" xfId="0" applyNumberFormat="1" applyFont="1" applyFill="1" applyBorder="1"/>
    <xf numFmtId="0" fontId="26" fillId="14" borderId="15" xfId="0" applyFont="1" applyFill="1" applyBorder="1"/>
    <xf numFmtId="0" fontId="36" fillId="14" borderId="9" xfId="0" quotePrefix="1" applyFont="1" applyFill="1" applyBorder="1" applyAlignment="1">
      <alignment horizontal="left" vertical="top" wrapText="1" indent="1"/>
    </xf>
    <xf numFmtId="0" fontId="36" fillId="14" borderId="9" xfId="0" quotePrefix="1" applyFont="1" applyFill="1" applyBorder="1" applyAlignment="1">
      <alignment vertical="top" wrapText="1"/>
    </xf>
    <xf numFmtId="2" fontId="28" fillId="14" borderId="9" xfId="0" applyNumberFormat="1" applyFont="1" applyFill="1" applyBorder="1"/>
    <xf numFmtId="2" fontId="28" fillId="14" borderId="16" xfId="0" applyNumberFormat="1" applyFont="1" applyFill="1" applyBorder="1"/>
    <xf numFmtId="2" fontId="28" fillId="14" borderId="0" xfId="0" applyNumberFormat="1" applyFont="1" applyFill="1"/>
    <xf numFmtId="2" fontId="28" fillId="14" borderId="14" xfId="0" applyNumberFormat="1" applyFont="1" applyFill="1" applyBorder="1"/>
    <xf numFmtId="0" fontId="40" fillId="14" borderId="0" xfId="0" applyFont="1" applyFill="1" applyAlignment="1">
      <alignment horizontal="left" vertical="top" wrapText="1"/>
    </xf>
    <xf numFmtId="0" fontId="40" fillId="14" borderId="0" xfId="0" applyFont="1" applyFill="1" applyAlignment="1">
      <alignment horizontal="left" wrapText="1"/>
    </xf>
    <xf numFmtId="0" fontId="39" fillId="14" borderId="0" xfId="0" applyFont="1" applyFill="1" applyAlignment="1">
      <alignment horizontal="left" vertical="center" indent="2"/>
    </xf>
    <xf numFmtId="0" fontId="39" fillId="14" borderId="14" xfId="0" applyFont="1" applyFill="1" applyBorder="1" applyAlignment="1">
      <alignment horizontal="right" vertical="center" indent="2"/>
    </xf>
    <xf numFmtId="0" fontId="40" fillId="0" borderId="0" xfId="0" applyFont="1" applyAlignment="1">
      <alignment horizontal="left" vertical="top"/>
    </xf>
    <xf numFmtId="0" fontId="40" fillId="14" borderId="9" xfId="0" applyFont="1" applyFill="1" applyBorder="1" applyAlignment="1">
      <alignment horizontal="left" vertical="top" wrapText="1"/>
    </xf>
    <xf numFmtId="0" fontId="33" fillId="14" borderId="0" xfId="0" applyFont="1" applyFill="1" applyAlignment="1">
      <alignment horizontal="right"/>
    </xf>
    <xf numFmtId="3" fontId="28" fillId="14" borderId="17" xfId="0" applyNumberFormat="1" applyFont="1" applyFill="1" applyBorder="1"/>
    <xf numFmtId="9" fontId="26" fillId="15" borderId="9" xfId="0" applyNumberFormat="1" applyFont="1" applyFill="1" applyBorder="1" applyAlignment="1" applyProtection="1">
      <alignment horizontal="center"/>
      <protection locked="0"/>
    </xf>
    <xf numFmtId="10" fontId="33" fillId="14" borderId="0" xfId="0" applyNumberFormat="1" applyFont="1" applyFill="1" applyAlignment="1">
      <alignment horizontal="right"/>
    </xf>
    <xf numFmtId="3" fontId="26" fillId="14" borderId="17" xfId="0" applyNumberFormat="1" applyFont="1" applyFill="1" applyBorder="1"/>
    <xf numFmtId="9" fontId="26" fillId="0" borderId="7" xfId="7" applyFont="1" applyFill="1" applyBorder="1" applyAlignment="1" applyProtection="1">
      <alignment horizontal="center"/>
      <protection locked="0"/>
    </xf>
    <xf numFmtId="0" fontId="33" fillId="0" borderId="24" xfId="0" applyFont="1" applyBorder="1" applyAlignment="1">
      <alignment vertical="center"/>
    </xf>
    <xf numFmtId="0" fontId="35" fillId="14" borderId="25" xfId="0" applyFont="1" applyFill="1" applyBorder="1" applyAlignment="1">
      <alignment horizontal="left" vertical="center" wrapText="1" indent="1"/>
    </xf>
    <xf numFmtId="0" fontId="35" fillId="14" borderId="26" xfId="0" applyFont="1" applyFill="1" applyBorder="1" applyAlignment="1">
      <alignment horizontal="left" vertical="center" wrapText="1" indent="1"/>
    </xf>
    <xf numFmtId="0" fontId="26" fillId="14" borderId="18" xfId="0" applyFont="1" applyFill="1" applyBorder="1"/>
    <xf numFmtId="0" fontId="33" fillId="14" borderId="19" xfId="0" applyFont="1" applyFill="1" applyBorder="1" applyAlignment="1">
      <alignment horizontal="right"/>
    </xf>
    <xf numFmtId="0" fontId="28" fillId="14" borderId="19" xfId="0" applyFont="1" applyFill="1" applyBorder="1"/>
    <xf numFmtId="0" fontId="28" fillId="14" borderId="27" xfId="0" applyFont="1" applyFill="1" applyBorder="1"/>
    <xf numFmtId="3" fontId="0" fillId="0" borderId="0" xfId="0" applyNumberFormat="1"/>
    <xf numFmtId="167" fontId="0" fillId="0" borderId="0" xfId="0" applyNumberFormat="1" applyAlignment="1">
      <alignment vertical="center" wrapText="1"/>
    </xf>
    <xf numFmtId="0" fontId="26" fillId="0" borderId="3" xfId="0" applyFont="1" applyBorder="1" applyProtection="1">
      <protection locked="0"/>
    </xf>
    <xf numFmtId="0" fontId="36" fillId="14" borderId="0" xfId="0" applyFont="1" applyFill="1" applyAlignment="1">
      <alignment horizontal="left" vertical="top" wrapText="1" indent="1"/>
    </xf>
    <xf numFmtId="0" fontId="36" fillId="14" borderId="0" xfId="0" quotePrefix="1" applyFont="1" applyFill="1" applyAlignment="1">
      <alignment horizontal="left" vertical="top" wrapText="1" indent="1"/>
    </xf>
    <xf numFmtId="0" fontId="36" fillId="14" borderId="9" xfId="0" applyFont="1" applyFill="1" applyBorder="1" applyAlignment="1">
      <alignment horizontal="left" vertical="top" wrapText="1" indent="1"/>
    </xf>
    <xf numFmtId="0" fontId="36" fillId="14" borderId="0" xfId="0" quotePrefix="1" applyFont="1" applyFill="1" applyAlignment="1">
      <alignment horizontal="left" vertical="top" wrapText="1"/>
    </xf>
    <xf numFmtId="0" fontId="36" fillId="14" borderId="0" xfId="0" applyFont="1" applyFill="1" applyAlignment="1">
      <alignment horizontal="left" vertical="top" wrapText="1"/>
    </xf>
    <xf numFmtId="0" fontId="26" fillId="0" borderId="0" xfId="0" applyFont="1" applyAlignment="1">
      <alignment horizontal="left" wrapText="1"/>
    </xf>
    <xf numFmtId="0" fontId="26" fillId="0" borderId="0" xfId="0" applyFont="1" applyAlignment="1">
      <alignment horizontal="left" vertical="top" wrapText="1"/>
    </xf>
    <xf numFmtId="0" fontId="36" fillId="14" borderId="14" xfId="0" applyFont="1" applyFill="1" applyBorder="1" applyAlignment="1">
      <alignment horizontal="left" vertical="top" wrapText="1" indent="1"/>
    </xf>
    <xf numFmtId="3" fontId="26" fillId="14" borderId="14" xfId="0" quotePrefix="1" applyNumberFormat="1" applyFont="1" applyFill="1" applyBorder="1" applyAlignment="1">
      <alignment horizontal="right" vertical="center"/>
    </xf>
    <xf numFmtId="3" fontId="45" fillId="14" borderId="17" xfId="0" applyNumberFormat="1" applyFont="1" applyFill="1" applyBorder="1" applyAlignment="1">
      <alignment horizontal="right" vertical="center"/>
    </xf>
    <xf numFmtId="3" fontId="45" fillId="0" borderId="7" xfId="0" applyNumberFormat="1" applyFont="1" applyBorder="1" applyAlignment="1" applyProtection="1">
      <alignment horizontal="center"/>
      <protection locked="0"/>
    </xf>
    <xf numFmtId="0" fontId="45" fillId="0" borderId="7" xfId="0" applyFont="1" applyBorder="1" applyAlignment="1" applyProtection="1">
      <alignment horizontal="center"/>
      <protection locked="0"/>
    </xf>
    <xf numFmtId="0" fontId="46" fillId="14" borderId="0" xfId="0" applyFont="1" applyFill="1" applyAlignment="1">
      <alignment horizontal="left" indent="2"/>
    </xf>
    <xf numFmtId="0" fontId="45" fillId="14" borderId="17" xfId="0" applyFont="1" applyFill="1" applyBorder="1"/>
    <xf numFmtId="0" fontId="48" fillId="14" borderId="0" xfId="0" applyFont="1" applyFill="1" applyAlignment="1">
      <alignment horizontal="left" indent="1"/>
    </xf>
    <xf numFmtId="3" fontId="45" fillId="0" borderId="17" xfId="0" applyNumberFormat="1" applyFont="1" applyBorder="1" applyAlignment="1">
      <alignment horizontal="right" vertical="center"/>
    </xf>
    <xf numFmtId="0" fontId="49" fillId="14" borderId="0" xfId="0" applyFont="1" applyFill="1"/>
    <xf numFmtId="0" fontId="49" fillId="14" borderId="0" xfId="0" applyFont="1" applyFill="1" applyAlignment="1">
      <alignment horizontal="left"/>
    </xf>
    <xf numFmtId="0" fontId="46" fillId="14" borderId="0" xfId="0" applyFont="1" applyFill="1" applyAlignment="1">
      <alignment horizontal="left" vertical="center" indent="2"/>
    </xf>
    <xf numFmtId="0" fontId="49" fillId="14" borderId="0" xfId="0" applyFont="1" applyFill="1" applyAlignment="1">
      <alignment horizontal="left" indent="2"/>
    </xf>
    <xf numFmtId="0" fontId="52" fillId="14" borderId="0" xfId="0" applyFont="1" applyFill="1" applyAlignment="1">
      <alignment horizontal="left" indent="2"/>
    </xf>
    <xf numFmtId="0" fontId="3" fillId="2" borderId="28" xfId="0" applyFont="1" applyFill="1" applyBorder="1" applyAlignment="1">
      <alignment horizontal="center" vertical="center" wrapText="1"/>
    </xf>
    <xf numFmtId="0" fontId="0" fillId="0" borderId="28" xfId="0" applyBorder="1" applyAlignment="1">
      <alignment horizontal="center" vertical="center" wrapText="1"/>
    </xf>
    <xf numFmtId="0" fontId="0" fillId="0" borderId="28" xfId="0" applyBorder="1" applyAlignment="1">
      <alignment vertical="center" wrapText="1"/>
    </xf>
    <xf numFmtId="3" fontId="0" fillId="0" borderId="28" xfId="0" applyNumberFormat="1" applyBorder="1" applyAlignment="1">
      <alignment horizontal="center" vertical="center" wrapText="1"/>
    </xf>
    <xf numFmtId="3" fontId="6" fillId="7" borderId="28" xfId="0" applyNumberFormat="1" applyFont="1" applyFill="1" applyBorder="1" applyAlignment="1">
      <alignment horizontal="center" vertical="center" wrapText="1"/>
    </xf>
    <xf numFmtId="0" fontId="0" fillId="0" borderId="28" xfId="0" applyBorder="1"/>
    <xf numFmtId="0" fontId="3" fillId="2" borderId="28" xfId="0" applyFont="1" applyFill="1" applyBorder="1" applyAlignment="1">
      <alignment horizontal="right" vertical="center"/>
    </xf>
    <xf numFmtId="0" fontId="3" fillId="2" borderId="28" xfId="0" applyFont="1" applyFill="1" applyBorder="1" applyAlignment="1">
      <alignment horizontal="left" vertical="center"/>
    </xf>
    <xf numFmtId="0" fontId="3" fillId="2" borderId="28" xfId="0" applyFont="1" applyFill="1" applyBorder="1" applyAlignment="1">
      <alignment vertical="center"/>
    </xf>
    <xf numFmtId="0" fontId="3" fillId="2" borderId="28" xfId="0" applyFont="1" applyFill="1" applyBorder="1" applyAlignment="1">
      <alignment horizontal="center" vertical="center"/>
    </xf>
    <xf numFmtId="0" fontId="9" fillId="3" borderId="28" xfId="0" applyFont="1" applyFill="1" applyBorder="1" applyAlignment="1">
      <alignment horizontal="center" vertical="center" wrapText="1"/>
    </xf>
    <xf numFmtId="164" fontId="9" fillId="3" borderId="28" xfId="1" applyNumberFormat="1" applyFont="1" applyFill="1" applyBorder="1" applyAlignment="1">
      <alignment horizontal="center" vertical="center" wrapText="1"/>
    </xf>
    <xf numFmtId="0" fontId="17" fillId="3" borderId="28" xfId="2" applyFont="1" applyFill="1" applyBorder="1" applyAlignment="1">
      <alignment horizontal="center" vertical="center" wrapText="1"/>
    </xf>
    <xf numFmtId="3" fontId="5" fillId="4" borderId="28" xfId="0" applyNumberFormat="1" applyFont="1" applyFill="1" applyBorder="1" applyAlignment="1">
      <alignment horizontal="center" vertical="center" wrapText="1"/>
    </xf>
    <xf numFmtId="164" fontId="5" fillId="4" borderId="28" xfId="1" applyNumberFormat="1" applyFont="1" applyFill="1" applyBorder="1" applyAlignment="1">
      <alignment horizontal="center" vertical="center" wrapText="1"/>
    </xf>
    <xf numFmtId="0" fontId="5" fillId="4" borderId="28" xfId="0" applyFont="1" applyFill="1" applyBorder="1" applyAlignment="1">
      <alignment horizontal="center" vertical="center" wrapText="1"/>
    </xf>
    <xf numFmtId="0" fontId="2" fillId="5" borderId="28" xfId="0" applyFont="1" applyFill="1" applyBorder="1" applyAlignment="1">
      <alignment horizontal="center" vertical="center" wrapText="1"/>
    </xf>
    <xf numFmtId="164" fontId="6" fillId="5" borderId="28" xfId="1" applyNumberFormat="1" applyFont="1" applyFill="1" applyBorder="1" applyAlignment="1">
      <alignment horizontal="center" vertical="center" wrapText="1"/>
    </xf>
    <xf numFmtId="0" fontId="18" fillId="8" borderId="28" xfId="0" applyFont="1" applyFill="1" applyBorder="1" applyAlignment="1">
      <alignment horizontal="center" vertical="center" wrapText="1"/>
    </xf>
    <xf numFmtId="0" fontId="0" fillId="4" borderId="28" xfId="0" applyFill="1" applyBorder="1" applyAlignment="1">
      <alignment vertical="center" wrapText="1"/>
    </xf>
    <xf numFmtId="0" fontId="5" fillId="0" borderId="28" xfId="0" applyFont="1" applyBorder="1" applyAlignment="1">
      <alignment vertical="center" wrapText="1"/>
    </xf>
    <xf numFmtId="0" fontId="0" fillId="4" borderId="28" xfId="0" applyFill="1" applyBorder="1" applyAlignment="1">
      <alignment vertical="center"/>
    </xf>
    <xf numFmtId="0" fontId="5" fillId="11" borderId="28" xfId="0" applyFont="1" applyFill="1" applyBorder="1" applyAlignment="1">
      <alignment vertical="center" wrapText="1"/>
    </xf>
    <xf numFmtId="0" fontId="6" fillId="5" borderId="28" xfId="0" applyFont="1" applyFill="1" applyBorder="1" applyAlignment="1">
      <alignment horizontal="center" vertical="center" wrapText="1"/>
    </xf>
    <xf numFmtId="164" fontId="2" fillId="5" borderId="28" xfId="1" applyNumberFormat="1" applyFont="1" applyFill="1" applyBorder="1" applyAlignment="1">
      <alignment horizontal="center" vertical="center" wrapText="1"/>
    </xf>
    <xf numFmtId="2" fontId="5" fillId="4" borderId="28" xfId="0" applyNumberFormat="1" applyFont="1" applyFill="1" applyBorder="1" applyAlignment="1">
      <alignment horizontal="center" vertical="center" wrapText="1"/>
    </xf>
    <xf numFmtId="0" fontId="0" fillId="0" borderId="28" xfId="0" applyBorder="1" applyAlignment="1" applyProtection="1">
      <alignment vertical="center" wrapText="1"/>
      <protection locked="0"/>
    </xf>
    <xf numFmtId="3" fontId="6" fillId="5" borderId="28" xfId="0" applyNumberFormat="1" applyFont="1" applyFill="1" applyBorder="1" applyAlignment="1">
      <alignment horizontal="center" vertical="center" wrapText="1"/>
    </xf>
    <xf numFmtId="0" fontId="26" fillId="0" borderId="28" xfId="0" applyFont="1" applyBorder="1" applyProtection="1">
      <protection locked="0"/>
    </xf>
    <xf numFmtId="4" fontId="28" fillId="0" borderId="28" xfId="0" applyNumberFormat="1" applyFont="1" applyBorder="1" applyAlignment="1" applyProtection="1">
      <alignment horizontal="right" vertical="center"/>
      <protection locked="0"/>
    </xf>
    <xf numFmtId="0" fontId="26" fillId="0" borderId="28" xfId="0" quotePrefix="1" applyFont="1" applyBorder="1" applyProtection="1">
      <protection locked="0"/>
    </xf>
    <xf numFmtId="1" fontId="26" fillId="14" borderId="28" xfId="0" applyNumberFormat="1" applyFont="1" applyFill="1" applyBorder="1" applyAlignment="1">
      <alignment horizontal="center" vertical="center"/>
    </xf>
    <xf numFmtId="0" fontId="26" fillId="0" borderId="28" xfId="0" applyFont="1" applyBorder="1" applyAlignment="1" applyProtection="1">
      <alignment horizontal="center"/>
      <protection locked="0"/>
    </xf>
    <xf numFmtId="166" fontId="26" fillId="14" borderId="28" xfId="0" applyNumberFormat="1" applyFont="1" applyFill="1" applyBorder="1" applyAlignment="1">
      <alignment horizontal="right" vertical="center"/>
    </xf>
    <xf numFmtId="3" fontId="26" fillId="0" borderId="28" xfId="0" quotePrefix="1" applyNumberFormat="1" applyFont="1" applyBorder="1" applyAlignment="1" applyProtection="1">
      <alignment horizontal="right" vertical="center"/>
      <protection locked="0"/>
    </xf>
    <xf numFmtId="166" fontId="28" fillId="14" borderId="28" xfId="1" applyNumberFormat="1" applyFont="1" applyFill="1" applyBorder="1" applyAlignment="1" applyProtection="1">
      <alignment horizontal="right" vertical="center"/>
    </xf>
    <xf numFmtId="0" fontId="1" fillId="3" borderId="28" xfId="0" applyFont="1" applyFill="1" applyBorder="1" applyAlignment="1">
      <alignment horizontal="center" vertical="center" wrapText="1"/>
    </xf>
    <xf numFmtId="3" fontId="1" fillId="3" borderId="28" xfId="0" applyNumberFormat="1" applyFont="1" applyFill="1" applyBorder="1" applyAlignment="1">
      <alignment horizontal="center" vertical="center" wrapText="1"/>
    </xf>
    <xf numFmtId="0" fontId="0" fillId="0" borderId="28" xfId="0" applyBorder="1" applyAlignment="1">
      <alignment vertical="center"/>
    </xf>
    <xf numFmtId="0" fontId="0" fillId="0" borderId="28" xfId="0" applyBorder="1" applyAlignment="1">
      <alignment horizontal="center" vertical="center"/>
    </xf>
    <xf numFmtId="0" fontId="0" fillId="4" borderId="28" xfId="0" applyFill="1" applyBorder="1" applyAlignment="1" applyProtection="1">
      <alignment horizontal="left" vertical="center" wrapText="1"/>
      <protection locked="0"/>
    </xf>
    <xf numFmtId="3" fontId="5" fillId="10" borderId="28" xfId="0" applyNumberFormat="1" applyFont="1" applyFill="1" applyBorder="1" applyAlignment="1" applyProtection="1">
      <alignment horizontal="center" vertical="center" wrapText="1"/>
      <protection locked="0"/>
    </xf>
    <xf numFmtId="0" fontId="0" fillId="10" borderId="28" xfId="0" applyFill="1" applyBorder="1" applyAlignment="1" applyProtection="1">
      <alignment vertical="center" wrapText="1"/>
      <protection locked="0"/>
    </xf>
    <xf numFmtId="0" fontId="5" fillId="0" borderId="28" xfId="0" quotePrefix="1" applyFont="1" applyBorder="1" applyAlignment="1" applyProtection="1">
      <alignment vertical="center" wrapText="1"/>
      <protection locked="0"/>
    </xf>
    <xf numFmtId="3" fontId="2" fillId="5" borderId="28" xfId="0" applyNumberFormat="1" applyFont="1" applyFill="1" applyBorder="1" applyAlignment="1">
      <alignment horizontal="center" vertical="center" wrapText="1"/>
    </xf>
    <xf numFmtId="0" fontId="0" fillId="0" borderId="28" xfId="0" quotePrefix="1" applyBorder="1" applyAlignment="1" applyProtection="1">
      <alignment vertical="center" wrapText="1"/>
      <protection locked="0"/>
    </xf>
    <xf numFmtId="2" fontId="54" fillId="0" borderId="32" xfId="0" applyNumberFormat="1" applyFont="1" applyBorder="1" applyAlignment="1">
      <alignment horizontal="right" vertical="center"/>
    </xf>
    <xf numFmtId="1" fontId="54" fillId="0" borderId="33" xfId="0" quotePrefix="1" applyNumberFormat="1" applyFont="1" applyBorder="1" applyAlignment="1">
      <alignment horizontal="right"/>
    </xf>
    <xf numFmtId="0" fontId="23" fillId="0" borderId="31" xfId="0" applyFont="1" applyBorder="1" applyAlignment="1">
      <alignment vertical="center" wrapText="1"/>
    </xf>
    <xf numFmtId="0" fontId="5" fillId="4" borderId="30" xfId="0" applyFont="1" applyFill="1" applyBorder="1" applyAlignment="1" applyProtection="1">
      <alignment horizontal="center" vertical="center" wrapText="1"/>
      <protection locked="0"/>
    </xf>
    <xf numFmtId="0" fontId="5" fillId="4" borderId="30" xfId="0" applyFont="1" applyFill="1" applyBorder="1" applyAlignment="1" applyProtection="1">
      <alignment horizontal="left" vertical="center" wrapText="1"/>
      <protection locked="0"/>
    </xf>
    <xf numFmtId="0" fontId="5" fillId="4" borderId="30" xfId="0" applyFont="1" applyFill="1" applyBorder="1" applyAlignment="1">
      <alignment vertical="center" wrapText="1"/>
    </xf>
    <xf numFmtId="164" fontId="5" fillId="4" borderId="30" xfId="1" applyNumberFormat="1" applyFont="1" applyFill="1" applyBorder="1" applyAlignment="1" applyProtection="1">
      <alignment horizontal="center" vertical="center" wrapText="1"/>
    </xf>
    <xf numFmtId="0" fontId="0" fillId="11" borderId="30" xfId="0" applyFill="1" applyBorder="1" applyAlignment="1" applyProtection="1">
      <alignment vertical="center" wrapText="1"/>
      <protection locked="0"/>
    </xf>
    <xf numFmtId="0" fontId="0" fillId="0" borderId="30" xfId="0" applyBorder="1" applyAlignment="1" applyProtection="1">
      <alignment vertical="center" wrapText="1"/>
      <protection locked="0"/>
    </xf>
    <xf numFmtId="0" fontId="6" fillId="5" borderId="30" xfId="0" applyFont="1" applyFill="1" applyBorder="1" applyAlignment="1" applyProtection="1">
      <alignment horizontal="center" vertical="center" wrapText="1"/>
      <protection locked="0"/>
    </xf>
    <xf numFmtId="3" fontId="6" fillId="5" borderId="30" xfId="0" applyNumberFormat="1" applyFont="1" applyFill="1" applyBorder="1" applyAlignment="1">
      <alignment horizontal="right" vertical="center" wrapText="1"/>
    </xf>
    <xf numFmtId="2" fontId="5" fillId="4" borderId="30" xfId="0" applyNumberFormat="1" applyFont="1" applyFill="1" applyBorder="1" applyAlignment="1" applyProtection="1">
      <alignment horizontal="center" vertical="center" wrapText="1"/>
      <protection locked="0"/>
    </xf>
    <xf numFmtId="3" fontId="5" fillId="4" borderId="30" xfId="0" applyNumberFormat="1" applyFont="1" applyFill="1" applyBorder="1" applyAlignment="1">
      <alignment horizontal="right" vertical="center" wrapText="1"/>
    </xf>
    <xf numFmtId="0" fontId="5" fillId="0" borderId="30" xfId="0" applyFont="1" applyBorder="1" applyAlignment="1" applyProtection="1">
      <alignment vertical="center" wrapText="1"/>
      <protection locked="0"/>
    </xf>
    <xf numFmtId="1" fontId="5" fillId="4" borderId="30" xfId="1" quotePrefix="1" applyNumberFormat="1" applyFont="1" applyFill="1" applyBorder="1" applyAlignment="1">
      <alignment horizontal="center" vertical="center" wrapText="1"/>
    </xf>
    <xf numFmtId="1" fontId="5" fillId="4" borderId="30" xfId="1" applyNumberFormat="1" applyFont="1" applyFill="1" applyBorder="1" applyAlignment="1">
      <alignment horizontal="center" vertical="center" wrapText="1"/>
    </xf>
    <xf numFmtId="0" fontId="0" fillId="11" borderId="30" xfId="0" applyFill="1" applyBorder="1" applyAlignment="1">
      <alignment vertical="center" wrapText="1"/>
    </xf>
    <xf numFmtId="3" fontId="6" fillId="5" borderId="30" xfId="0" applyNumberFormat="1" applyFont="1" applyFill="1" applyBorder="1" applyAlignment="1">
      <alignment horizontal="center" vertical="center" wrapText="1"/>
    </xf>
    <xf numFmtId="164" fontId="6" fillId="4" borderId="30" xfId="1" applyNumberFormat="1" applyFont="1" applyFill="1" applyBorder="1" applyAlignment="1">
      <alignment horizontal="center" vertical="center" wrapText="1"/>
    </xf>
    <xf numFmtId="0" fontId="2" fillId="5" borderId="30" xfId="0" applyFont="1" applyFill="1" applyBorder="1" applyAlignment="1">
      <alignment vertical="center" wrapText="1"/>
    </xf>
    <xf numFmtId="3" fontId="5" fillId="4" borderId="30" xfId="0" applyNumberFormat="1" applyFont="1" applyFill="1" applyBorder="1" applyAlignment="1">
      <alignment horizontal="center" vertical="center" wrapText="1"/>
    </xf>
    <xf numFmtId="0" fontId="6" fillId="4" borderId="30" xfId="0" applyFont="1" applyFill="1" applyBorder="1" applyAlignment="1">
      <alignment horizontal="center" vertical="center" wrapText="1"/>
    </xf>
    <xf numFmtId="0" fontId="2" fillId="4" borderId="30" xfId="0" applyFont="1" applyFill="1" applyBorder="1" applyAlignment="1">
      <alignment vertical="center" wrapText="1"/>
    </xf>
    <xf numFmtId="3" fontId="6" fillId="5" borderId="30" xfId="0" applyNumberFormat="1" applyFont="1" applyFill="1" applyBorder="1" applyAlignment="1">
      <alignment vertical="center" wrapText="1"/>
    </xf>
    <xf numFmtId="0" fontId="3" fillId="2" borderId="30" xfId="0" applyFont="1" applyFill="1" applyBorder="1" applyAlignment="1">
      <alignment horizontal="right" vertical="center"/>
    </xf>
    <xf numFmtId="0" fontId="3" fillId="2" borderId="30" xfId="0" applyFont="1" applyFill="1" applyBorder="1" applyAlignment="1">
      <alignment horizontal="left" vertical="center"/>
    </xf>
    <xf numFmtId="0" fontId="3" fillId="2" borderId="30" xfId="0" applyFont="1" applyFill="1" applyBorder="1" applyAlignment="1">
      <alignment vertical="center"/>
    </xf>
    <xf numFmtId="0" fontId="3" fillId="2" borderId="30" xfId="0" applyFont="1" applyFill="1" applyBorder="1" applyAlignment="1">
      <alignment horizontal="center" vertical="center"/>
    </xf>
    <xf numFmtId="0" fontId="9" fillId="3" borderId="30" xfId="0" applyFont="1" applyFill="1" applyBorder="1" applyAlignment="1">
      <alignment horizontal="center" vertical="center" wrapText="1"/>
    </xf>
    <xf numFmtId="164" fontId="9" fillId="3" borderId="30" xfId="1" applyNumberFormat="1" applyFont="1" applyFill="1" applyBorder="1" applyAlignment="1">
      <alignment horizontal="center" vertical="center" wrapText="1"/>
    </xf>
    <xf numFmtId="0" fontId="17" fillId="3" borderId="30" xfId="2" applyFont="1" applyFill="1" applyBorder="1" applyAlignment="1">
      <alignment horizontal="center" vertical="center" wrapText="1"/>
    </xf>
    <xf numFmtId="0" fontId="18" fillId="8" borderId="30" xfId="0" applyFont="1" applyFill="1" applyBorder="1" applyAlignment="1">
      <alignment horizontal="center" vertical="center" wrapText="1"/>
    </xf>
    <xf numFmtId="0" fontId="0" fillId="0" borderId="30" xfId="0" applyBorder="1" applyAlignment="1">
      <alignment horizontal="center" vertical="center" wrapText="1"/>
    </xf>
    <xf numFmtId="0" fontId="5" fillId="4" borderId="30" xfId="0" applyFont="1" applyFill="1" applyBorder="1" applyAlignment="1">
      <alignment horizontal="center" vertical="center" wrapText="1"/>
    </xf>
    <xf numFmtId="0" fontId="0" fillId="4" borderId="30" xfId="0" applyFill="1" applyBorder="1" applyAlignment="1">
      <alignment vertical="center" wrapText="1"/>
    </xf>
    <xf numFmtId="164" fontId="5" fillId="4" borderId="30" xfId="1" applyNumberFormat="1" applyFont="1" applyFill="1" applyBorder="1" applyAlignment="1">
      <alignment horizontal="center" vertical="center" wrapText="1"/>
    </xf>
    <xf numFmtId="0" fontId="0" fillId="0" borderId="30" xfId="0" applyBorder="1" applyAlignment="1">
      <alignment vertical="center" wrapText="1"/>
    </xf>
    <xf numFmtId="0" fontId="6" fillId="5" borderId="30" xfId="0" applyFont="1" applyFill="1" applyBorder="1" applyAlignment="1">
      <alignment horizontal="center" vertical="center" wrapText="1"/>
    </xf>
    <xf numFmtId="0" fontId="2" fillId="5" borderId="30" xfId="0" applyFont="1" applyFill="1" applyBorder="1" applyAlignment="1">
      <alignment horizontal="center" vertical="center" wrapText="1"/>
    </xf>
    <xf numFmtId="164" fontId="2" fillId="5" borderId="30" xfId="1" applyNumberFormat="1" applyFont="1" applyFill="1" applyBorder="1" applyAlignment="1">
      <alignment horizontal="center" vertical="center" wrapText="1"/>
    </xf>
    <xf numFmtId="0" fontId="5" fillId="0" borderId="30" xfId="0" applyFont="1" applyBorder="1" applyAlignment="1">
      <alignment vertical="center" wrapText="1"/>
    </xf>
    <xf numFmtId="2" fontId="5" fillId="4" borderId="30" xfId="0" applyNumberFormat="1" applyFont="1" applyFill="1" applyBorder="1" applyAlignment="1">
      <alignment horizontal="center" vertical="center" wrapText="1"/>
    </xf>
    <xf numFmtId="164" fontId="6" fillId="5" borderId="30" xfId="1" applyNumberFormat="1" applyFont="1" applyFill="1" applyBorder="1" applyAlignment="1">
      <alignment horizontal="center" vertical="center" wrapText="1"/>
    </xf>
    <xf numFmtId="0" fontId="5" fillId="11" borderId="30" xfId="0" applyFont="1" applyFill="1" applyBorder="1" applyAlignment="1">
      <alignment vertical="center" wrapText="1"/>
    </xf>
    <xf numFmtId="0" fontId="0" fillId="4" borderId="36" xfId="0" applyFill="1" applyBorder="1" applyAlignment="1">
      <alignment horizontal="left" vertical="center" wrapText="1"/>
    </xf>
    <xf numFmtId="0" fontId="0" fillId="4" borderId="34" xfId="0" applyFill="1" applyBorder="1" applyAlignment="1">
      <alignment horizontal="left" vertical="center" wrapText="1"/>
    </xf>
    <xf numFmtId="0" fontId="0" fillId="4" borderId="35" xfId="0" applyFill="1" applyBorder="1" applyAlignment="1">
      <alignment horizontal="left" vertical="center" wrapText="1"/>
    </xf>
    <xf numFmtId="0" fontId="0" fillId="11" borderId="30" xfId="0" applyFill="1" applyBorder="1" applyAlignment="1">
      <alignment horizontal="left" vertical="center" wrapText="1"/>
    </xf>
    <xf numFmtId="0" fontId="7" fillId="6" borderId="37" xfId="0" applyFont="1" applyFill="1" applyBorder="1" applyAlignment="1">
      <alignment horizontal="center" vertical="center" wrapText="1"/>
    </xf>
    <xf numFmtId="0" fontId="7" fillId="6" borderId="38" xfId="0" applyFont="1" applyFill="1" applyBorder="1" applyAlignment="1">
      <alignment horizontal="center" vertical="center" wrapText="1"/>
    </xf>
    <xf numFmtId="0" fontId="8" fillId="0" borderId="30" xfId="0" applyFont="1" applyBorder="1" applyAlignment="1">
      <alignment horizontal="center" vertical="center" wrapText="1"/>
    </xf>
    <xf numFmtId="0" fontId="26" fillId="17" borderId="30" xfId="0" applyFont="1" applyFill="1" applyBorder="1" applyAlignment="1" applyProtection="1">
      <alignment horizontal="center"/>
      <protection locked="0"/>
    </xf>
    <xf numFmtId="0" fontId="26" fillId="0" borderId="31" xfId="0" applyFont="1" applyBorder="1" applyProtection="1">
      <protection locked="0"/>
    </xf>
    <xf numFmtId="0" fontId="26" fillId="15" borderId="34" xfId="0" applyFont="1" applyFill="1" applyBorder="1" applyAlignment="1" applyProtection="1">
      <alignment horizontal="center"/>
      <protection locked="0"/>
    </xf>
    <xf numFmtId="0" fontId="26" fillId="0" borderId="31" xfId="0" applyFont="1" applyBorder="1" applyAlignment="1" applyProtection="1">
      <alignment horizontal="center"/>
      <protection locked="0"/>
    </xf>
    <xf numFmtId="166" fontId="26" fillId="14" borderId="40" xfId="0" applyNumberFormat="1" applyFont="1" applyFill="1" applyBorder="1" applyAlignment="1">
      <alignment horizontal="right" vertical="center"/>
    </xf>
    <xf numFmtId="3" fontId="26" fillId="14" borderId="41" xfId="0" applyNumberFormat="1" applyFont="1" applyFill="1" applyBorder="1" applyAlignment="1">
      <alignment horizontal="right" vertical="center"/>
    </xf>
    <xf numFmtId="0" fontId="46" fillId="14" borderId="41" xfId="0" applyFont="1" applyFill="1" applyBorder="1" applyAlignment="1">
      <alignment horizontal="right" indent="2"/>
    </xf>
    <xf numFmtId="0" fontId="26" fillId="0" borderId="34" xfId="0" applyFont="1" applyBorder="1" applyProtection="1">
      <protection locked="0"/>
    </xf>
    <xf numFmtId="0" fontId="46" fillId="14" borderId="41" xfId="0" applyFont="1" applyFill="1" applyBorder="1" applyAlignment="1">
      <alignment horizontal="right" vertical="center" indent="2"/>
    </xf>
    <xf numFmtId="2" fontId="26" fillId="14" borderId="40" xfId="0" applyNumberFormat="1" applyFont="1" applyFill="1" applyBorder="1" applyAlignment="1">
      <alignment horizontal="right" vertical="center"/>
    </xf>
    <xf numFmtId="3" fontId="26" fillId="0" borderId="41" xfId="0" applyNumberFormat="1" applyFont="1" applyBorder="1" applyAlignment="1">
      <alignment horizontal="right" vertical="center"/>
    </xf>
    <xf numFmtId="3" fontId="26" fillId="0" borderId="39" xfId="0" quotePrefix="1" applyNumberFormat="1" applyFont="1" applyBorder="1" applyAlignment="1" applyProtection="1">
      <alignment horizontal="right" vertical="center"/>
      <protection locked="0"/>
    </xf>
    <xf numFmtId="0" fontId="2" fillId="5" borderId="39" xfId="0" applyFont="1" applyFill="1" applyBorder="1" applyAlignment="1">
      <alignment horizontal="left" vertical="center" wrapText="1"/>
    </xf>
    <xf numFmtId="0" fontId="0" fillId="4" borderId="31" xfId="0" applyFill="1" applyBorder="1" applyAlignment="1" applyProtection="1">
      <alignment horizontal="left" vertical="center" wrapText="1"/>
      <protection locked="0"/>
    </xf>
    <xf numFmtId="3" fontId="5" fillId="10" borderId="31" xfId="0" applyNumberFormat="1" applyFont="1" applyFill="1" applyBorder="1" applyAlignment="1" applyProtection="1">
      <alignment horizontal="center" vertical="center" wrapText="1"/>
      <protection locked="0"/>
    </xf>
    <xf numFmtId="0" fontId="0" fillId="0" borderId="35" xfId="0" quotePrefix="1" applyBorder="1" applyAlignment="1" applyProtection="1">
      <alignment vertical="center" wrapText="1"/>
      <protection locked="0"/>
    </xf>
    <xf numFmtId="166" fontId="5" fillId="4" borderId="30" xfId="0" applyNumberFormat="1" applyFont="1" applyFill="1" applyBorder="1" applyAlignment="1">
      <alignment horizontal="center" vertical="center" wrapText="1"/>
    </xf>
    <xf numFmtId="0" fontId="56" fillId="0" borderId="31" xfId="0" applyFont="1" applyBorder="1" applyAlignment="1">
      <alignment vertical="center" wrapText="1"/>
    </xf>
    <xf numFmtId="3" fontId="45" fillId="18" borderId="17" xfId="0" applyNumberFormat="1" applyFont="1" applyFill="1" applyBorder="1" applyAlignment="1">
      <alignment horizontal="right" vertical="center"/>
    </xf>
    <xf numFmtId="0" fontId="45" fillId="18" borderId="17" xfId="0" applyFont="1" applyFill="1" applyBorder="1"/>
    <xf numFmtId="0" fontId="0" fillId="11" borderId="0" xfId="0" applyFill="1"/>
    <xf numFmtId="0" fontId="0" fillId="0" borderId="0" xfId="0" applyAlignment="1">
      <alignment wrapText="1"/>
    </xf>
    <xf numFmtId="0" fontId="0" fillId="11" borderId="0" xfId="0" applyFill="1" applyAlignment="1">
      <alignment vertical="center" wrapText="1"/>
    </xf>
    <xf numFmtId="0" fontId="59" fillId="0" borderId="30" xfId="11" applyFont="1" applyFill="1" applyBorder="1" applyAlignment="1">
      <alignment horizontal="left" vertical="top" wrapText="1"/>
    </xf>
    <xf numFmtId="0" fontId="61" fillId="19" borderId="46" xfId="0" applyFont="1" applyFill="1" applyBorder="1" applyAlignment="1">
      <alignment horizontal="center" vertical="center" wrapText="1"/>
    </xf>
    <xf numFmtId="0" fontId="61" fillId="19" borderId="47" xfId="0" applyFont="1" applyFill="1" applyBorder="1" applyAlignment="1">
      <alignment horizontal="center" vertical="center" wrapText="1"/>
    </xf>
    <xf numFmtId="0" fontId="64" fillId="0" borderId="48" xfId="0" applyFont="1" applyBorder="1" applyAlignment="1">
      <alignment horizontal="center" vertical="center" wrapText="1"/>
    </xf>
    <xf numFmtId="0" fontId="64" fillId="0" borderId="27" xfId="0" applyFont="1" applyBorder="1" applyAlignment="1">
      <alignment horizontal="center" vertical="center" wrapText="1"/>
    </xf>
    <xf numFmtId="3" fontId="64" fillId="0" borderId="27" xfId="0" applyNumberFormat="1" applyFont="1" applyBorder="1" applyAlignment="1">
      <alignment horizontal="center" vertical="center" wrapText="1"/>
    </xf>
    <xf numFmtId="0" fontId="63" fillId="0" borderId="0" xfId="0" applyFont="1" applyAlignment="1">
      <alignment horizontal="left" vertical="center" indent="2"/>
    </xf>
    <xf numFmtId="0" fontId="0" fillId="0" borderId="0" xfId="0" applyAlignment="1">
      <alignment horizontal="left" vertical="center" wrapText="1"/>
    </xf>
    <xf numFmtId="0" fontId="0" fillId="11" borderId="0" xfId="0" applyFill="1" applyAlignment="1">
      <alignment horizontal="left" vertical="center" wrapText="1"/>
    </xf>
    <xf numFmtId="0" fontId="66" fillId="12" borderId="30" xfId="0" applyFont="1" applyFill="1" applyBorder="1" applyAlignment="1">
      <alignment horizontal="center" vertical="center"/>
    </xf>
    <xf numFmtId="0" fontId="66" fillId="12" borderId="30" xfId="0" applyFont="1" applyFill="1" applyBorder="1" applyAlignment="1">
      <alignment vertical="center" wrapText="1"/>
    </xf>
    <xf numFmtId="0" fontId="20" fillId="12" borderId="30" xfId="0" applyFont="1" applyFill="1" applyBorder="1" applyAlignment="1">
      <alignment horizontal="center" vertical="center" wrapText="1"/>
    </xf>
    <xf numFmtId="0" fontId="20" fillId="12" borderId="30" xfId="0" applyFont="1" applyFill="1" applyBorder="1" applyAlignment="1">
      <alignment horizontal="right" vertical="center" wrapText="1"/>
    </xf>
    <xf numFmtId="0" fontId="21" fillId="0" borderId="0" xfId="0" applyFont="1" applyAlignment="1">
      <alignment vertical="center"/>
    </xf>
    <xf numFmtId="0" fontId="21" fillId="0" borderId="0" xfId="0" applyFont="1" applyAlignment="1">
      <alignment horizontal="left" vertical="center"/>
    </xf>
    <xf numFmtId="1" fontId="67" fillId="0" borderId="30" xfId="9" applyNumberFormat="1" applyFont="1" applyBorder="1" applyAlignment="1">
      <alignment horizontal="center" vertical="center"/>
    </xf>
    <xf numFmtId="0" fontId="67" fillId="0" borderId="30" xfId="0" applyFont="1" applyBorder="1" applyAlignment="1">
      <alignment vertical="center" wrapText="1"/>
    </xf>
    <xf numFmtId="0" fontId="21" fillId="0" borderId="30" xfId="0" applyFont="1" applyBorder="1" applyAlignment="1">
      <alignment horizontal="left" vertical="center" wrapText="1"/>
    </xf>
    <xf numFmtId="0" fontId="21" fillId="0" borderId="30" xfId="0" applyFont="1" applyBorder="1" applyAlignment="1">
      <alignment horizontal="center" vertical="center"/>
    </xf>
    <xf numFmtId="0" fontId="21" fillId="0" borderId="30" xfId="0" applyFont="1" applyBorder="1" applyAlignment="1">
      <alignment horizontal="left" vertical="top" wrapText="1"/>
    </xf>
    <xf numFmtId="0" fontId="21" fillId="0" borderId="30" xfId="0" applyFont="1" applyBorder="1" applyAlignment="1">
      <alignment horizontal="center" vertical="center" wrapText="1"/>
    </xf>
    <xf numFmtId="1" fontId="21" fillId="0" borderId="30" xfId="0" applyNumberFormat="1" applyFont="1" applyBorder="1" applyAlignment="1">
      <alignment horizontal="center" vertical="center" wrapText="1"/>
    </xf>
    <xf numFmtId="165" fontId="21" fillId="0" borderId="30" xfId="10" applyNumberFormat="1" applyFont="1" applyFill="1" applyBorder="1" applyAlignment="1">
      <alignment horizontal="right" vertical="center"/>
    </xf>
    <xf numFmtId="1" fontId="21" fillId="0" borderId="30" xfId="0" applyNumberFormat="1" applyFont="1" applyBorder="1" applyAlignment="1">
      <alignment horizontal="center" vertical="center"/>
    </xf>
    <xf numFmtId="1" fontId="21" fillId="0" borderId="30" xfId="0" applyNumberFormat="1" applyFont="1" applyBorder="1" applyAlignment="1">
      <alignment horizontal="right" vertical="center" wrapText="1"/>
    </xf>
    <xf numFmtId="0" fontId="21" fillId="0" borderId="30" xfId="0" applyFont="1" applyBorder="1" applyAlignment="1">
      <alignment horizontal="right" vertical="center" wrapText="1"/>
    </xf>
    <xf numFmtId="49" fontId="68" fillId="0" borderId="30" xfId="9" applyNumberFormat="1" applyFont="1" applyBorder="1" applyAlignment="1">
      <alignment horizontal="center" vertical="center" wrapText="1"/>
    </xf>
    <xf numFmtId="0" fontId="67" fillId="0" borderId="30" xfId="0" applyFont="1" applyBorder="1" applyAlignment="1">
      <alignment horizontal="center" vertical="center"/>
    </xf>
    <xf numFmtId="0" fontId="0" fillId="0" borderId="30" xfId="0" applyBorder="1" applyAlignment="1">
      <alignment horizontal="left" vertical="top" wrapText="1"/>
    </xf>
    <xf numFmtId="0" fontId="58" fillId="0" borderId="30" xfId="11" applyBorder="1" applyAlignment="1">
      <alignment horizontal="left" vertical="top" wrapText="1"/>
    </xf>
    <xf numFmtId="0" fontId="60" fillId="0" borderId="0" xfId="0" applyFont="1" applyAlignment="1">
      <alignment horizontal="left" vertical="center"/>
    </xf>
    <xf numFmtId="0" fontId="67" fillId="0" borderId="0" xfId="0" applyFont="1" applyAlignment="1">
      <alignment horizontal="center" vertical="center"/>
    </xf>
    <xf numFmtId="0" fontId="67" fillId="0" borderId="0" xfId="0" applyFont="1" applyAlignment="1">
      <alignment vertical="center" wrapText="1"/>
    </xf>
    <xf numFmtId="0" fontId="21" fillId="0" borderId="0" xfId="0" applyFont="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top" wrapText="1"/>
    </xf>
    <xf numFmtId="0" fontId="21" fillId="0" borderId="0" xfId="0" applyFont="1" applyAlignment="1">
      <alignment horizontal="center" vertical="center" wrapText="1"/>
    </xf>
    <xf numFmtId="165" fontId="21" fillId="0" borderId="0" xfId="10" applyNumberFormat="1" applyFont="1" applyAlignment="1">
      <alignment horizontal="right" vertical="center"/>
    </xf>
    <xf numFmtId="165" fontId="21" fillId="0" borderId="0" xfId="10" applyNumberFormat="1" applyFont="1" applyAlignment="1">
      <alignment horizontal="left" vertical="center"/>
    </xf>
    <xf numFmtId="0" fontId="21" fillId="0" borderId="0" xfId="0" applyFont="1" applyAlignment="1">
      <alignment horizontal="right" vertical="center" wrapText="1"/>
    </xf>
    <xf numFmtId="0" fontId="69" fillId="0" borderId="0" xfId="0" applyFont="1"/>
    <xf numFmtId="0" fontId="69" fillId="0" borderId="0" xfId="0" applyFont="1" applyAlignment="1">
      <alignment horizontal="right" vertical="center"/>
    </xf>
    <xf numFmtId="0" fontId="68" fillId="0" borderId="30" xfId="0" applyFont="1" applyBorder="1"/>
    <xf numFmtId="0" fontId="68" fillId="0" borderId="30" xfId="0" applyFont="1" applyBorder="1" applyAlignment="1">
      <alignment wrapText="1"/>
    </xf>
    <xf numFmtId="0" fontId="5" fillId="0" borderId="30" xfId="0" applyFont="1" applyBorder="1"/>
    <xf numFmtId="0" fontId="1" fillId="0" borderId="0" xfId="0" applyFont="1" applyAlignment="1">
      <alignment horizontal="center"/>
    </xf>
    <xf numFmtId="0" fontId="69" fillId="0" borderId="0" xfId="0" applyFont="1" applyAlignment="1">
      <alignment horizontal="right"/>
    </xf>
    <xf numFmtId="0" fontId="69" fillId="0" borderId="0" xfId="0" applyFont="1" applyAlignment="1">
      <alignment horizontal="right" vertical="center" wrapText="1"/>
    </xf>
    <xf numFmtId="0" fontId="5" fillId="0" borderId="0" xfId="0" applyFont="1"/>
    <xf numFmtId="3" fontId="0" fillId="0" borderId="0" xfId="0" applyNumberFormat="1" applyAlignment="1">
      <alignment horizontal="center"/>
    </xf>
    <xf numFmtId="0" fontId="70" fillId="9" borderId="49" xfId="0" applyFont="1" applyFill="1" applyBorder="1"/>
    <xf numFmtId="0" fontId="0" fillId="13" borderId="49" xfId="0" applyFill="1" applyBorder="1"/>
    <xf numFmtId="0" fontId="0" fillId="0" borderId="50" xfId="0" applyBorder="1"/>
    <xf numFmtId="0" fontId="0" fillId="4" borderId="51" xfId="0" applyFill="1" applyBorder="1"/>
    <xf numFmtId="0" fontId="70" fillId="9" borderId="52" xfId="0" applyFont="1" applyFill="1" applyBorder="1"/>
    <xf numFmtId="2" fontId="0" fillId="0" borderId="0" xfId="0" applyNumberFormat="1"/>
    <xf numFmtId="0" fontId="0" fillId="0" borderId="53" xfId="0" applyBorder="1"/>
    <xf numFmtId="0" fontId="0" fillId="10" borderId="54" xfId="0" applyFill="1" applyBorder="1"/>
    <xf numFmtId="0" fontId="0" fillId="10" borderId="55" xfId="0" applyFill="1" applyBorder="1"/>
    <xf numFmtId="0" fontId="0" fillId="0" borderId="56" xfId="0" applyBorder="1"/>
    <xf numFmtId="0" fontId="0" fillId="10" borderId="57" xfId="0" applyFill="1" applyBorder="1"/>
    <xf numFmtId="0" fontId="0" fillId="10" borderId="58" xfId="0" applyFill="1" applyBorder="1"/>
    <xf numFmtId="0" fontId="16" fillId="0" borderId="30" xfId="2" applyBorder="1" applyAlignment="1"/>
    <xf numFmtId="0" fontId="5" fillId="0" borderId="39" xfId="0" applyFont="1" applyBorder="1"/>
    <xf numFmtId="0" fontId="5" fillId="0" borderId="35" xfId="0" applyFont="1" applyBorder="1"/>
    <xf numFmtId="0" fontId="69" fillId="0" borderId="30" xfId="0" applyFont="1" applyBorder="1"/>
    <xf numFmtId="0" fontId="5" fillId="20" borderId="30" xfId="0" applyFont="1" applyFill="1" applyBorder="1"/>
    <xf numFmtId="0" fontId="25" fillId="0" borderId="0" xfId="0" applyFont="1"/>
    <xf numFmtId="0" fontId="25" fillId="0" borderId="0" xfId="0" applyFont="1" applyAlignment="1">
      <alignment horizontal="left"/>
    </xf>
    <xf numFmtId="0" fontId="8" fillId="0" borderId="0" xfId="0" applyFont="1"/>
    <xf numFmtId="0" fontId="0" fillId="0" borderId="30" xfId="0" applyBorder="1" applyAlignment="1">
      <alignment horizontal="left" vertical="center"/>
    </xf>
    <xf numFmtId="0" fontId="0" fillId="0" borderId="28" xfId="0" applyBorder="1"/>
    <xf numFmtId="0" fontId="0" fillId="0" borderId="36" xfId="0" applyBorder="1"/>
    <xf numFmtId="3" fontId="6" fillId="0" borderId="28" xfId="0" applyNumberFormat="1" applyFont="1" applyBorder="1" applyAlignment="1">
      <alignment horizontal="right" vertical="center" wrapText="1"/>
    </xf>
    <xf numFmtId="0" fontId="0" fillId="0" borderId="28" xfId="0" applyBorder="1" applyAlignment="1">
      <alignment horizontal="left" vertical="top" wrapText="1"/>
    </xf>
    <xf numFmtId="0" fontId="13" fillId="2" borderId="28" xfId="0" applyFont="1" applyFill="1" applyBorder="1" applyAlignment="1">
      <alignment horizontal="center" vertical="center" wrapText="1"/>
    </xf>
    <xf numFmtId="0" fontId="1" fillId="3" borderId="28" xfId="0" applyFont="1" applyFill="1" applyBorder="1" applyAlignment="1">
      <alignment horizontal="center" vertical="center" wrapText="1"/>
    </xf>
    <xf numFmtId="3" fontId="6" fillId="7" borderId="28" xfId="0" applyNumberFormat="1" applyFont="1" applyFill="1" applyBorder="1" applyAlignment="1">
      <alignment horizontal="right" vertical="center" wrapText="1"/>
    </xf>
    <xf numFmtId="0" fontId="5" fillId="0" borderId="28" xfId="0" applyFont="1" applyBorder="1" applyAlignment="1">
      <alignment horizontal="left" vertical="top" wrapText="1"/>
    </xf>
    <xf numFmtId="0" fontId="3" fillId="2" borderId="28" xfId="0" applyFont="1" applyFill="1" applyBorder="1" applyAlignment="1">
      <alignment horizontal="center" vertical="center"/>
    </xf>
    <xf numFmtId="0" fontId="0" fillId="0" borderId="28" xfId="0" applyBorder="1" applyAlignment="1">
      <alignment horizontal="center"/>
    </xf>
    <xf numFmtId="0" fontId="2" fillId="0" borderId="28" xfId="0" applyFont="1" applyBorder="1" applyAlignment="1">
      <alignment horizontal="center"/>
    </xf>
    <xf numFmtId="14" fontId="0" fillId="0" borderId="28" xfId="0" applyNumberFormat="1" applyBorder="1" applyAlignment="1">
      <alignment horizontal="center"/>
    </xf>
    <xf numFmtId="0" fontId="11" fillId="8" borderId="28" xfId="0" applyFont="1" applyFill="1" applyBorder="1" applyAlignment="1">
      <alignment horizontal="left" vertical="center" wrapText="1"/>
    </xf>
    <xf numFmtId="0" fontId="0" fillId="4" borderId="28" xfId="0" applyFill="1" applyBorder="1" applyAlignment="1">
      <alignment horizontal="left" vertical="center" wrapText="1"/>
    </xf>
    <xf numFmtId="0" fontId="2" fillId="4" borderId="28" xfId="0" applyFont="1" applyFill="1" applyBorder="1" applyAlignment="1">
      <alignment horizontal="left" vertical="center" wrapText="1"/>
    </xf>
    <xf numFmtId="0" fontId="2" fillId="5" borderId="28" xfId="0" applyFont="1" applyFill="1" applyBorder="1" applyAlignment="1">
      <alignment horizontal="left" vertical="center" wrapText="1"/>
    </xf>
    <xf numFmtId="0" fontId="0" fillId="0" borderId="28" xfId="0" applyBorder="1" applyAlignment="1">
      <alignment horizontal="left" vertical="center" wrapText="1"/>
    </xf>
    <xf numFmtId="0" fontId="11" fillId="8" borderId="30" xfId="0" applyFont="1" applyFill="1" applyBorder="1" applyAlignment="1" applyProtection="1">
      <alignment horizontal="left" vertical="center" wrapText="1"/>
      <protection locked="0"/>
    </xf>
    <xf numFmtId="0" fontId="2" fillId="5" borderId="30" xfId="0" applyFont="1" applyFill="1"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 fillId="4" borderId="30" xfId="0" applyFont="1" applyFill="1" applyBorder="1" applyAlignment="1" applyProtection="1">
      <alignment horizontal="left" vertical="center" wrapText="1"/>
      <protection locked="0"/>
    </xf>
    <xf numFmtId="0" fontId="0" fillId="4" borderId="30" xfId="0" applyFill="1" applyBorder="1" applyAlignment="1" applyProtection="1">
      <alignment horizontal="left" vertical="center" wrapText="1"/>
      <protection locked="0"/>
    </xf>
    <xf numFmtId="0" fontId="2" fillId="0" borderId="29"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3" fillId="7" borderId="31" xfId="0" applyFont="1" applyFill="1" applyBorder="1" applyAlignment="1">
      <alignment horizontal="left" vertical="center"/>
    </xf>
    <xf numFmtId="0" fontId="23" fillId="7" borderId="7" xfId="0" applyFont="1" applyFill="1" applyBorder="1" applyAlignment="1">
      <alignment horizontal="left" vertical="center"/>
    </xf>
    <xf numFmtId="0" fontId="23" fillId="7" borderId="3" xfId="0" applyFont="1" applyFill="1" applyBorder="1" applyAlignment="1">
      <alignment horizontal="left" vertical="center"/>
    </xf>
    <xf numFmtId="0" fontId="2" fillId="4" borderId="30" xfId="0" applyFont="1" applyFill="1" applyBorder="1" applyAlignment="1">
      <alignment horizontal="left" vertical="center"/>
    </xf>
    <xf numFmtId="0" fontId="0" fillId="4" borderId="30" xfId="0" applyFill="1" applyBorder="1" applyAlignment="1">
      <alignment horizontal="left" vertical="center"/>
    </xf>
    <xf numFmtId="0" fontId="10" fillId="8" borderId="30" xfId="0" applyFont="1" applyFill="1" applyBorder="1" applyAlignment="1">
      <alignment horizontal="left" vertical="center" wrapText="1"/>
    </xf>
    <xf numFmtId="0" fontId="11" fillId="8" borderId="30" xfId="0" applyFont="1" applyFill="1" applyBorder="1" applyAlignment="1">
      <alignment horizontal="left" vertical="center" wrapText="1"/>
    </xf>
    <xf numFmtId="0" fontId="0" fillId="4" borderId="30" xfId="0" applyFill="1" applyBorder="1" applyAlignment="1">
      <alignment horizontal="left" vertical="center" wrapText="1"/>
    </xf>
    <xf numFmtId="0" fontId="2" fillId="5" borderId="30" xfId="0" applyFont="1" applyFill="1" applyBorder="1" applyAlignment="1">
      <alignment horizontal="left" vertical="center" wrapText="1"/>
    </xf>
    <xf numFmtId="0" fontId="0" fillId="0" borderId="30" xfId="0" applyBorder="1" applyAlignment="1">
      <alignment horizontal="left" vertical="center" wrapText="1"/>
    </xf>
    <xf numFmtId="0" fontId="2" fillId="4" borderId="30" xfId="0" applyFont="1" applyFill="1" applyBorder="1" applyAlignment="1">
      <alignment horizontal="left" vertical="center" wrapText="1"/>
    </xf>
    <xf numFmtId="0" fontId="2" fillId="0" borderId="36" xfId="0" applyFont="1" applyBorder="1" applyAlignment="1">
      <alignment horizontal="center" vertical="center" wrapText="1"/>
    </xf>
    <xf numFmtId="0" fontId="0" fillId="4" borderId="36" xfId="0" applyFill="1"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4" borderId="39" xfId="0" applyFill="1" applyBorder="1" applyAlignment="1">
      <alignment horizontal="left" vertical="center" wrapText="1"/>
    </xf>
    <xf numFmtId="0" fontId="0" fillId="4" borderId="34" xfId="0" applyFill="1" applyBorder="1" applyAlignment="1">
      <alignment horizontal="left" vertical="center" wrapText="1"/>
    </xf>
    <xf numFmtId="0" fontId="0" fillId="4" borderId="35" xfId="0" applyFill="1" applyBorder="1" applyAlignment="1">
      <alignment horizontal="left" vertical="center" wrapText="1"/>
    </xf>
    <xf numFmtId="0" fontId="64" fillId="0" borderId="10" xfId="0" applyFont="1" applyBorder="1" applyAlignment="1">
      <alignment vertical="center" wrapText="1"/>
    </xf>
    <xf numFmtId="0" fontId="64" fillId="0" borderId="11" xfId="0" applyFont="1" applyBorder="1" applyAlignment="1">
      <alignment vertical="center" wrapText="1"/>
    </xf>
    <xf numFmtId="0" fontId="64" fillId="0" borderId="12" xfId="0" applyFont="1" applyBorder="1" applyAlignment="1">
      <alignment vertical="center" wrapText="1"/>
    </xf>
    <xf numFmtId="0" fontId="64" fillId="0" borderId="18" xfId="0" applyFont="1" applyBorder="1" applyAlignment="1">
      <alignment vertical="center" wrapText="1"/>
    </xf>
    <xf numFmtId="0" fontId="64" fillId="0" borderId="19" xfId="0" applyFont="1" applyBorder="1" applyAlignment="1">
      <alignment vertical="center" wrapText="1"/>
    </xf>
    <xf numFmtId="0" fontId="64" fillId="0" borderId="27" xfId="0" applyFont="1" applyBorder="1" applyAlignment="1">
      <alignment vertical="center" wrapText="1"/>
    </xf>
    <xf numFmtId="0" fontId="5" fillId="4" borderId="36" xfId="0" applyFont="1" applyFill="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23" fillId="7" borderId="44" xfId="0" applyFont="1" applyFill="1" applyBorder="1" applyAlignment="1">
      <alignment horizontal="left" vertical="center"/>
    </xf>
    <xf numFmtId="0" fontId="23" fillId="7" borderId="45" xfId="0" applyFont="1" applyFill="1" applyBorder="1" applyAlignment="1">
      <alignment horizontal="left" vertical="center"/>
    </xf>
    <xf numFmtId="0" fontId="23" fillId="7" borderId="43" xfId="0" applyFont="1" applyFill="1" applyBorder="1" applyAlignment="1">
      <alignment horizontal="left" vertical="center"/>
    </xf>
    <xf numFmtId="0" fontId="23" fillId="7" borderId="23" xfId="0" applyFont="1" applyFill="1" applyBorder="1" applyAlignment="1">
      <alignment horizontal="left" vertical="center"/>
    </xf>
    <xf numFmtId="0" fontId="23" fillId="7" borderId="42" xfId="0" applyFont="1" applyFill="1" applyBorder="1" applyAlignment="1">
      <alignment horizontal="left" vertical="center"/>
    </xf>
    <xf numFmtId="0" fontId="23" fillId="7" borderId="21" xfId="0" applyFont="1" applyFill="1" applyBorder="1" applyAlignment="1">
      <alignment horizontal="left" vertical="center"/>
    </xf>
    <xf numFmtId="0" fontId="0" fillId="0" borderId="31"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10" borderId="3" xfId="0" applyFill="1" applyBorder="1" applyAlignment="1">
      <alignment horizontal="left" vertical="center"/>
    </xf>
    <xf numFmtId="0" fontId="0" fillId="10" borderId="31" xfId="0" applyFill="1" applyBorder="1" applyAlignment="1">
      <alignment horizontal="left" vertical="center"/>
    </xf>
    <xf numFmtId="0" fontId="0" fillId="10" borderId="7" xfId="0" applyFill="1" applyBorder="1" applyAlignment="1">
      <alignment horizontal="left" vertical="center"/>
    </xf>
    <xf numFmtId="0" fontId="36" fillId="14" borderId="0" xfId="0" applyFont="1" applyFill="1" applyAlignment="1">
      <alignment horizontal="left" vertical="top" wrapText="1" indent="1"/>
    </xf>
    <xf numFmtId="0" fontId="50" fillId="14" borderId="0" xfId="0" applyFont="1" applyFill="1" applyAlignment="1">
      <alignment horizontal="left" vertical="top" wrapText="1" indent="1"/>
    </xf>
    <xf numFmtId="0" fontId="36" fillId="14" borderId="14" xfId="0" applyFont="1" applyFill="1" applyBorder="1" applyAlignment="1">
      <alignment horizontal="left" vertical="top" wrapText="1" indent="1"/>
    </xf>
    <xf numFmtId="0" fontId="36" fillId="14" borderId="9" xfId="0" applyFont="1" applyFill="1" applyBorder="1" applyAlignment="1">
      <alignment horizontal="left" vertical="top" wrapText="1" indent="1"/>
    </xf>
    <xf numFmtId="0" fontId="26" fillId="0" borderId="0" xfId="0" applyFont="1" applyAlignment="1">
      <alignment horizontal="left" vertical="top" wrapText="1"/>
    </xf>
    <xf numFmtId="0" fontId="36" fillId="14" borderId="9" xfId="0" applyFont="1" applyFill="1" applyBorder="1" applyAlignment="1">
      <alignment horizontal="left" vertical="top" wrapText="1"/>
    </xf>
    <xf numFmtId="0" fontId="51" fillId="14" borderId="9" xfId="0" applyFont="1" applyFill="1" applyBorder="1" applyAlignment="1">
      <alignment horizontal="left" wrapText="1"/>
    </xf>
    <xf numFmtId="0" fontId="51" fillId="14" borderId="16" xfId="0" applyFont="1" applyFill="1" applyBorder="1" applyAlignment="1">
      <alignment horizontal="left" wrapText="1"/>
    </xf>
    <xf numFmtId="0" fontId="26" fillId="0" borderId="0" xfId="0" applyFont="1" applyAlignment="1">
      <alignment horizontal="left" wrapText="1"/>
    </xf>
    <xf numFmtId="0" fontId="41" fillId="0" borderId="0" xfId="0" applyFont="1" applyAlignment="1">
      <alignment horizontal="left" vertical="top" wrapText="1" indent="1"/>
    </xf>
    <xf numFmtId="0" fontId="47" fillId="14" borderId="0" xfId="0" applyFont="1" applyFill="1" applyAlignment="1">
      <alignment horizontal="left" vertical="top" wrapText="1"/>
    </xf>
    <xf numFmtId="0" fontId="37" fillId="14" borderId="0" xfId="0" applyFont="1" applyFill="1" applyAlignment="1">
      <alignment horizontal="left" vertical="top" wrapText="1"/>
    </xf>
    <xf numFmtId="0" fontId="36" fillId="14" borderId="0" xfId="0" applyFont="1" applyFill="1" applyAlignment="1">
      <alignment horizontal="left" vertical="top"/>
    </xf>
    <xf numFmtId="2" fontId="53" fillId="14" borderId="0" xfId="0" applyNumberFormat="1" applyFont="1" applyFill="1" applyAlignment="1">
      <alignment horizontal="left" vertical="center" wrapText="1"/>
    </xf>
    <xf numFmtId="2" fontId="53" fillId="14" borderId="14" xfId="0" applyNumberFormat="1" applyFont="1" applyFill="1" applyBorder="1" applyAlignment="1">
      <alignment horizontal="left" vertical="center" wrapText="1"/>
    </xf>
    <xf numFmtId="0" fontId="36" fillId="14" borderId="0" xfId="0" quotePrefix="1" applyFont="1" applyFill="1" applyAlignment="1">
      <alignment horizontal="left" vertical="top" wrapText="1" indent="1"/>
    </xf>
    <xf numFmtId="0" fontId="34" fillId="14" borderId="0" xfId="0" applyFont="1" applyFill="1" applyAlignment="1">
      <alignment horizontal="center"/>
    </xf>
    <xf numFmtId="0" fontId="36" fillId="14" borderId="0" xfId="0" quotePrefix="1" applyFont="1" applyFill="1" applyAlignment="1">
      <alignment horizontal="left" vertical="top" wrapText="1"/>
    </xf>
    <xf numFmtId="0" fontId="36" fillId="14" borderId="19" xfId="0" quotePrefix="1" applyFont="1" applyFill="1" applyBorder="1" applyAlignment="1">
      <alignment horizontal="left" vertical="top" wrapText="1"/>
    </xf>
    <xf numFmtId="0" fontId="36" fillId="14" borderId="0" xfId="0" applyFont="1" applyFill="1" applyAlignment="1">
      <alignment horizontal="left" vertical="top" wrapText="1"/>
    </xf>
    <xf numFmtId="0" fontId="27" fillId="14" borderId="0" xfId="0" applyFont="1" applyFill="1" applyAlignment="1">
      <alignment horizontal="right" vertical="center" wrapText="1"/>
    </xf>
    <xf numFmtId="0" fontId="0" fillId="15" borderId="0" xfId="0" applyFill="1" applyAlignment="1" applyProtection="1">
      <alignment horizontal="left" vertical="top" wrapText="1"/>
      <protection locked="0"/>
    </xf>
    <xf numFmtId="0" fontId="26" fillId="15" borderId="0" xfId="0" applyFont="1" applyFill="1" applyAlignment="1" applyProtection="1">
      <alignment horizontal="left" vertical="top" wrapText="1"/>
      <protection locked="0"/>
    </xf>
    <xf numFmtId="0" fontId="26" fillId="15" borderId="9" xfId="0" applyFont="1" applyFill="1" applyBorder="1" applyAlignment="1" applyProtection="1">
      <alignment horizontal="left" vertical="top" wrapText="1"/>
      <protection locked="0"/>
    </xf>
    <xf numFmtId="0" fontId="29" fillId="14" borderId="0" xfId="0" applyFont="1" applyFill="1" applyAlignment="1">
      <alignment horizontal="center" vertical="center"/>
    </xf>
    <xf numFmtId="0" fontId="26" fillId="17" borderId="39" xfId="0" applyFont="1" applyFill="1" applyBorder="1" applyAlignment="1" applyProtection="1">
      <alignment horizontal="center"/>
      <protection locked="0"/>
    </xf>
    <xf numFmtId="0" fontId="26" fillId="17" borderId="35" xfId="0" applyFont="1" applyFill="1" applyBorder="1" applyAlignment="1" applyProtection="1">
      <alignment horizontal="center"/>
      <protection locked="0"/>
    </xf>
    <xf numFmtId="3" fontId="2" fillId="0" borderId="0" xfId="0" applyNumberFormat="1" applyFont="1" applyAlignment="1">
      <alignment horizontal="center" vertical="center"/>
    </xf>
    <xf numFmtId="0" fontId="3" fillId="2" borderId="39"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4" fillId="0" borderId="28" xfId="0" applyFont="1" applyBorder="1" applyAlignment="1">
      <alignment horizontal="center" vertical="center" wrapText="1"/>
    </xf>
    <xf numFmtId="0" fontId="0" fillId="0" borderId="39" xfId="0" applyBorder="1"/>
    <xf numFmtId="0" fontId="0" fillId="0" borderId="34" xfId="0" applyBorder="1"/>
    <xf numFmtId="0" fontId="0" fillId="0" borderId="35" xfId="0" applyBorder="1"/>
    <xf numFmtId="0" fontId="2" fillId="10" borderId="28" xfId="0" applyFont="1" applyFill="1" applyBorder="1" applyAlignment="1">
      <alignment horizontal="left" vertical="center" wrapText="1"/>
    </xf>
    <xf numFmtId="0" fontId="0" fillId="0" borderId="0" xfId="0" applyFill="1"/>
    <xf numFmtId="0" fontId="72" fillId="0" borderId="0" xfId="0" applyFont="1" applyFill="1" applyAlignment="1">
      <alignment wrapText="1"/>
    </xf>
  </cellXfs>
  <cellStyles count="12">
    <cellStyle name="Comma" xfId="1" builtinId="3"/>
    <cellStyle name="Comma 2" xfId="10" xr:uid="{42B61515-7C71-49D0-BEB7-743207834912}"/>
    <cellStyle name="Currency 2" xfId="4" xr:uid="{70E59BA2-B807-47AD-BD06-42036384CE0E}"/>
    <cellStyle name="Hyperlink" xfId="2" builtinId="8"/>
    <cellStyle name="Hyperlink 2" xfId="11" xr:uid="{2E3579AF-E955-4821-AFE1-894F8DB49B33}"/>
    <cellStyle name="Normal" xfId="0" builtinId="0"/>
    <cellStyle name="Normal 2" xfId="3" xr:uid="{13D5729D-EB15-4AE8-80B1-45A141A1B308}"/>
    <cellStyle name="Normal 3" xfId="5" xr:uid="{66EF274A-181A-4C46-AF5E-2F705C6569D1}"/>
    <cellStyle name="Normal 4" xfId="6" xr:uid="{04DB16FF-D6C4-4766-A749-8CF79CC96BF8}"/>
    <cellStyle name="Normal 5" xfId="8" xr:uid="{D1BBB849-E7F4-47BA-8D9F-BE35FDEF6F7F}"/>
    <cellStyle name="Normal_5-6 digit" xfId="9" xr:uid="{0656D5D5-BF9E-4DC3-9263-3C0EE250DBC1}"/>
    <cellStyle name="Percent" xfId="7" builtinId="5"/>
  </cellStyles>
  <dxfs count="9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3"/>
      </font>
      <fill>
        <patternFill>
          <bgColor indexed="8"/>
        </patternFill>
      </fill>
    </dxf>
    <dxf>
      <font>
        <condense val="0"/>
        <extend val="0"/>
        <color indexed="9"/>
      </font>
    </dxf>
    <dxf>
      <font>
        <condense val="0"/>
        <extend val="0"/>
      </font>
    </dxf>
    <dxf>
      <font>
        <condense val="0"/>
        <extend val="0"/>
      </font>
    </dxf>
    <dxf>
      <font>
        <condense val="0"/>
        <extend val="0"/>
      </font>
    </dxf>
    <dxf>
      <font>
        <condense val="0"/>
        <extend val="0"/>
        <color indexed="9"/>
      </font>
    </dxf>
    <dxf>
      <font>
        <condense val="0"/>
        <extend val="0"/>
        <color indexed="13"/>
      </font>
      <fill>
        <patternFill>
          <bgColor indexed="8"/>
        </patternFill>
      </fill>
    </dxf>
    <dxf>
      <font>
        <b/>
        <i val="0"/>
        <condense val="0"/>
        <extend val="0"/>
        <color indexed="13"/>
      </font>
      <fill>
        <patternFill>
          <bgColor indexed="8"/>
        </patternFill>
      </fill>
    </dxf>
    <dxf>
      <font>
        <b/>
        <i val="0"/>
        <condense val="0"/>
        <extend val="0"/>
        <color indexed="13"/>
      </font>
      <fill>
        <patternFill>
          <bgColor indexed="8"/>
        </patternFill>
      </fill>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ill>
        <patternFill>
          <bgColor indexed="43"/>
        </patternFill>
      </fill>
      <border>
        <bottom style="thin">
          <color indexed="64"/>
        </bottom>
      </border>
    </dxf>
    <dxf>
      <fill>
        <patternFill>
          <bgColor indexed="9"/>
        </patternFill>
      </fill>
    </dxf>
    <dxf>
      <fill>
        <patternFill>
          <bgColor indexed="43"/>
        </patternFill>
      </fill>
      <border>
        <bottom style="thin">
          <color indexed="64"/>
        </bottom>
      </border>
    </dxf>
    <dxf>
      <fill>
        <patternFill>
          <bgColor indexed="9"/>
        </patternFill>
      </fill>
      <border>
        <left/>
        <right/>
        <top/>
        <bottom/>
      </border>
    </dxf>
    <dxf>
      <font>
        <b/>
        <i val="0"/>
        <condense val="0"/>
        <extend val="0"/>
        <color indexed="13"/>
      </font>
      <fill>
        <patternFill>
          <bgColor indexed="8"/>
        </patternFill>
      </fill>
    </dxf>
    <dxf>
      <font>
        <condense val="0"/>
        <extend val="0"/>
        <color indexed="22"/>
      </font>
    </dxf>
    <dxf>
      <font>
        <strike val="0"/>
        <outline val="0"/>
        <shadow val="0"/>
        <vertAlign val="baseline"/>
        <name val="Calibri"/>
        <family val="2"/>
        <scheme val="minor"/>
      </font>
    </dxf>
    <dxf>
      <border outline="0">
        <top style="thin">
          <color theme="4" tint="0.39997558519241921"/>
        </top>
      </border>
    </dxf>
    <dxf>
      <font>
        <strike val="0"/>
        <outline val="0"/>
        <shadow val="0"/>
        <vertAlign val="baseline"/>
        <name val="Calibri"/>
        <family val="2"/>
        <scheme val="minor"/>
      </font>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numFmt numFmtId="2" formatCode="0.00"/>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alignment horizontal="center" vertical="center" textRotation="0" wrapText="0" indent="0" justifyLastLine="0" shrinkToFit="0" readingOrder="0"/>
    </dxf>
    <dxf>
      <font>
        <strike val="0"/>
        <outline val="0"/>
        <shadow val="0"/>
        <vertAlign val="baseline"/>
        <name val="Calibri"/>
        <family val="2"/>
        <scheme val="minor"/>
      </font>
    </dxf>
    <dxf>
      <border outline="0">
        <top style="thin">
          <color indexed="64"/>
        </top>
      </border>
    </dxf>
    <dxf>
      <font>
        <strike val="0"/>
        <outline val="0"/>
        <shadow val="0"/>
        <vertAlign val="baseline"/>
        <name val="Calibri"/>
        <family val="2"/>
        <scheme val="minor"/>
      </font>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vertAlign val="baseline"/>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fgColor theme="4" tint="0.79998168889431442"/>
          <bgColor auto="1"/>
        </patternFill>
      </fill>
    </dxf>
    <dxf>
      <border outline="0">
        <left style="thin">
          <color indexed="64"/>
        </left>
        <top style="thin">
          <color indexed="64"/>
        </top>
      </border>
    </dxf>
    <dxf>
      <font>
        <strike val="0"/>
        <outline val="0"/>
        <shadow val="0"/>
        <vertAlign val="baseline"/>
        <name val="Calibri"/>
        <family val="2"/>
        <scheme val="minor"/>
      </font>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font>
        <strike val="0"/>
        <outline val="0"/>
        <shadow val="0"/>
        <vertAlign val="baseline"/>
        <name val="Calibri"/>
        <family val="2"/>
        <scheme val="minor"/>
      </font>
      <alignment horizontal="center" vertical="bottom" textRotation="0" wrapText="0" indent="0" justifyLastLine="0" shrinkToFit="0" readingOrder="0"/>
    </dxf>
    <dxf>
      <border outline="0">
        <top style="thin">
          <color theme="4" tint="0.39997558519241921"/>
        </top>
      </border>
    </dxf>
    <dxf>
      <font>
        <strike val="0"/>
        <outline val="0"/>
        <shadow val="0"/>
        <vertAlign val="baseline"/>
        <name val="Calibri"/>
        <family val="2"/>
        <scheme val="minor"/>
      </font>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general" vertical="bottom" textRotation="0" wrapText="0" indent="0" justifyLastLine="0" shrinkToFit="0" readingOrder="0"/>
    </dxf>
    <dxf>
      <font>
        <strike val="0"/>
        <outline val="0"/>
        <shadow val="0"/>
        <vertAlign val="baseline"/>
        <name val="Calibri"/>
        <family val="2"/>
        <scheme val="minor"/>
      </font>
      <alignment horizontal="general" vertical="bottom" textRotation="0" wrapText="0" indent="0" justifyLastLine="0" shrinkToFit="0" readingOrder="0"/>
    </dxf>
    <dxf>
      <font>
        <strike val="0"/>
        <outline val="0"/>
        <shadow val="0"/>
        <vertAlign val="baseline"/>
        <name val="Calibri"/>
        <family val="2"/>
        <scheme val="minor"/>
      </font>
    </dxf>
    <dxf>
      <font>
        <strike val="0"/>
        <outline val="0"/>
        <shadow val="0"/>
        <vertAlign val="baseline"/>
        <name val="Calibri"/>
        <family val="2"/>
        <scheme val="minor"/>
      </font>
      <alignment horizontal="center" vertical="bottom" textRotation="0" indent="0" justifyLastLine="0" shrinkToFit="0" readingOrder="0"/>
    </dxf>
    <dxf>
      <border outline="0">
        <bottom style="thin">
          <color indexed="22"/>
        </bottom>
      </border>
    </dxf>
    <dxf>
      <font>
        <strike val="0"/>
        <outline val="0"/>
        <shadow val="0"/>
        <vertAlign val="baseline"/>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FF3300"/>
      <color rgb="FFFFFF9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L116" lockText="1"/>
</file>

<file path=xl/ctrlProps/ctrlProp10.xml><?xml version="1.0" encoding="utf-8"?>
<formControlPr xmlns="http://schemas.microsoft.com/office/spreadsheetml/2009/9/main" objectType="CheckBox" fmlaLink="M153" lockText="1"/>
</file>

<file path=xl/ctrlProps/ctrlProp11.xml><?xml version="1.0" encoding="utf-8"?>
<formControlPr xmlns="http://schemas.microsoft.com/office/spreadsheetml/2009/9/main" objectType="CheckBox" fmlaLink="L49" lockText="1"/>
</file>

<file path=xl/ctrlProps/ctrlProp12.xml><?xml version="1.0" encoding="utf-8"?>
<formControlPr xmlns="http://schemas.microsoft.com/office/spreadsheetml/2009/9/main" objectType="CheckBox" fmlaLink="L52" lockText="1"/>
</file>

<file path=xl/ctrlProps/ctrlProp13.xml><?xml version="1.0" encoding="utf-8"?>
<formControlPr xmlns="http://schemas.microsoft.com/office/spreadsheetml/2009/9/main" objectType="CheckBox" fmlaLink="L63" lockText="1"/>
</file>

<file path=xl/ctrlProps/ctrlProp14.xml><?xml version="1.0" encoding="utf-8"?>
<formControlPr xmlns="http://schemas.microsoft.com/office/spreadsheetml/2009/9/main" objectType="CheckBox" fmlaLink="L66" lockText="1"/>
</file>

<file path=xl/ctrlProps/ctrlProp15.xml><?xml version="1.0" encoding="utf-8"?>
<formControlPr xmlns="http://schemas.microsoft.com/office/spreadsheetml/2009/9/main" objectType="CheckBox" fmlaLink="L46" lockText="1"/>
</file>

<file path=xl/ctrlProps/ctrlProp2.xml><?xml version="1.0" encoding="utf-8"?>
<formControlPr xmlns="http://schemas.microsoft.com/office/spreadsheetml/2009/9/main" objectType="CheckBox" fmlaLink="M116" lockText="1"/>
</file>

<file path=xl/ctrlProps/ctrlProp3.xml><?xml version="1.0" encoding="utf-8"?>
<formControlPr xmlns="http://schemas.microsoft.com/office/spreadsheetml/2009/9/main" objectType="CheckBox" fmlaLink="L121" lockText="1"/>
</file>

<file path=xl/ctrlProps/ctrlProp4.xml><?xml version="1.0" encoding="utf-8"?>
<formControlPr xmlns="http://schemas.microsoft.com/office/spreadsheetml/2009/9/main" objectType="CheckBox" fmlaLink="M121" lockText="1"/>
</file>

<file path=xl/ctrlProps/ctrlProp5.xml><?xml version="1.0" encoding="utf-8"?>
<formControlPr xmlns="http://schemas.microsoft.com/office/spreadsheetml/2009/9/main" objectType="CheckBox" fmlaLink="L126" lockText="1"/>
</file>

<file path=xl/ctrlProps/ctrlProp6.xml><?xml version="1.0" encoding="utf-8"?>
<formControlPr xmlns="http://schemas.microsoft.com/office/spreadsheetml/2009/9/main" objectType="CheckBox" fmlaLink="M126" lockText="1"/>
</file>

<file path=xl/ctrlProps/ctrlProp7.xml><?xml version="1.0" encoding="utf-8"?>
<formControlPr xmlns="http://schemas.microsoft.com/office/spreadsheetml/2009/9/main" objectType="CheckBox" fmlaLink="L129" lockText="1"/>
</file>

<file path=xl/ctrlProps/ctrlProp8.xml><?xml version="1.0" encoding="utf-8"?>
<formControlPr xmlns="http://schemas.microsoft.com/office/spreadsheetml/2009/9/main" objectType="CheckBox" fmlaLink="M129" lockText="1"/>
</file>

<file path=xl/ctrlProps/ctrlProp9.xml><?xml version="1.0" encoding="utf-8"?>
<formControlPr xmlns="http://schemas.microsoft.com/office/spreadsheetml/2009/9/main" objectType="CheckBox" fmlaLink="M150"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136071</xdr:colOff>
          <xdr:row>114</xdr:row>
          <xdr:rowOff>125186</xdr:rowOff>
        </xdr:from>
        <xdr:to>
          <xdr:col>1</xdr:col>
          <xdr:colOff>299357</xdr:colOff>
          <xdr:row>116</xdr:row>
          <xdr:rowOff>38100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E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114</xdr:row>
          <xdr:rowOff>125186</xdr:rowOff>
        </xdr:from>
        <xdr:to>
          <xdr:col>7</xdr:col>
          <xdr:colOff>70757</xdr:colOff>
          <xdr:row>116</xdr:row>
          <xdr:rowOff>38100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E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119</xdr:row>
          <xdr:rowOff>125186</xdr:rowOff>
        </xdr:from>
        <xdr:to>
          <xdr:col>1</xdr:col>
          <xdr:colOff>299357</xdr:colOff>
          <xdr:row>121</xdr:row>
          <xdr:rowOff>38100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E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119</xdr:row>
          <xdr:rowOff>125186</xdr:rowOff>
        </xdr:from>
        <xdr:to>
          <xdr:col>7</xdr:col>
          <xdr:colOff>70757</xdr:colOff>
          <xdr:row>121</xdr:row>
          <xdr:rowOff>38100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E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124</xdr:row>
          <xdr:rowOff>125186</xdr:rowOff>
        </xdr:from>
        <xdr:to>
          <xdr:col>1</xdr:col>
          <xdr:colOff>299357</xdr:colOff>
          <xdr:row>126</xdr:row>
          <xdr:rowOff>38100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E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124</xdr:row>
          <xdr:rowOff>125186</xdr:rowOff>
        </xdr:from>
        <xdr:to>
          <xdr:col>7</xdr:col>
          <xdr:colOff>70757</xdr:colOff>
          <xdr:row>126</xdr:row>
          <xdr:rowOff>38100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E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127</xdr:row>
          <xdr:rowOff>125186</xdr:rowOff>
        </xdr:from>
        <xdr:to>
          <xdr:col>1</xdr:col>
          <xdr:colOff>299357</xdr:colOff>
          <xdr:row>129</xdr:row>
          <xdr:rowOff>38100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E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127</xdr:row>
          <xdr:rowOff>125186</xdr:rowOff>
        </xdr:from>
        <xdr:to>
          <xdr:col>7</xdr:col>
          <xdr:colOff>70757</xdr:colOff>
          <xdr:row>129</xdr:row>
          <xdr:rowOff>38100</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E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148</xdr:row>
          <xdr:rowOff>125186</xdr:rowOff>
        </xdr:from>
        <xdr:to>
          <xdr:col>7</xdr:col>
          <xdr:colOff>70757</xdr:colOff>
          <xdr:row>150</xdr:row>
          <xdr:rowOff>38100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E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402771</xdr:colOff>
          <xdr:row>151</xdr:row>
          <xdr:rowOff>125186</xdr:rowOff>
        </xdr:from>
        <xdr:to>
          <xdr:col>7</xdr:col>
          <xdr:colOff>70757</xdr:colOff>
          <xdr:row>153</xdr:row>
          <xdr:rowOff>38100</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0E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47</xdr:row>
          <xdr:rowOff>125186</xdr:rowOff>
        </xdr:from>
        <xdr:to>
          <xdr:col>1</xdr:col>
          <xdr:colOff>299357</xdr:colOff>
          <xdr:row>49</xdr:row>
          <xdr:rowOff>38100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0E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50</xdr:row>
          <xdr:rowOff>125186</xdr:rowOff>
        </xdr:from>
        <xdr:to>
          <xdr:col>1</xdr:col>
          <xdr:colOff>299357</xdr:colOff>
          <xdr:row>52</xdr:row>
          <xdr:rowOff>38100</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0E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61</xdr:row>
          <xdr:rowOff>125186</xdr:rowOff>
        </xdr:from>
        <xdr:to>
          <xdr:col>1</xdr:col>
          <xdr:colOff>299357</xdr:colOff>
          <xdr:row>63</xdr:row>
          <xdr:rowOff>38100</xdr:rowOff>
        </xdr:to>
        <xdr:sp macro="" textlink="">
          <xdr:nvSpPr>
            <xdr:cNvPr id="51214" name="Check Box 14" hidden="1">
              <a:extLst>
                <a:ext uri="{63B3BB69-23CF-44E3-9099-C40C66FF867C}">
                  <a14:compatExt spid="_x0000_s51214"/>
                </a:ext>
                <a:ext uri="{FF2B5EF4-FFF2-40B4-BE49-F238E27FC236}">
                  <a16:creationId xmlns:a16="http://schemas.microsoft.com/office/drawing/2014/main" id="{00000000-0008-0000-0E00-00000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64</xdr:row>
          <xdr:rowOff>125186</xdr:rowOff>
        </xdr:from>
        <xdr:to>
          <xdr:col>1</xdr:col>
          <xdr:colOff>299357</xdr:colOff>
          <xdr:row>66</xdr:row>
          <xdr:rowOff>38100</xdr:rowOff>
        </xdr:to>
        <xdr:sp macro="" textlink="">
          <xdr:nvSpPr>
            <xdr:cNvPr id="51215" name="Check Box 15" hidden="1">
              <a:extLst>
                <a:ext uri="{63B3BB69-23CF-44E3-9099-C40C66FF867C}">
                  <a14:compatExt spid="_x0000_s51215"/>
                </a:ext>
                <a:ext uri="{FF2B5EF4-FFF2-40B4-BE49-F238E27FC236}">
                  <a16:creationId xmlns:a16="http://schemas.microsoft.com/office/drawing/2014/main" id="{00000000-0008-0000-0E00-00000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44</xdr:row>
          <xdr:rowOff>125186</xdr:rowOff>
        </xdr:from>
        <xdr:to>
          <xdr:col>1</xdr:col>
          <xdr:colOff>299357</xdr:colOff>
          <xdr:row>46</xdr:row>
          <xdr:rowOff>38100</xdr:rowOff>
        </xdr:to>
        <xdr:sp macro="" textlink="">
          <xdr:nvSpPr>
            <xdr:cNvPr id="51216" name="Check Box 16" hidden="1">
              <a:extLst>
                <a:ext uri="{63B3BB69-23CF-44E3-9099-C40C66FF867C}">
                  <a14:compatExt spid="_x0000_s51216"/>
                </a:ext>
                <a:ext uri="{FF2B5EF4-FFF2-40B4-BE49-F238E27FC236}">
                  <a16:creationId xmlns:a16="http://schemas.microsoft.com/office/drawing/2014/main" id="{00000000-0008-0000-0E00-00001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6:J71" totalsRowShown="0" headerRowDxfId="93" dataDxfId="91" headerRowBorderDxfId="92" tableBorderDxfId="90">
  <autoFilter ref="A6:J71" xr:uid="{00000000-0009-0000-0100-000002000000}"/>
  <tableColumns count="10">
    <tableColumn id="1" xr3:uid="{00000000-0010-0000-0000-000001000000}" name="UNIT" dataDxfId="89"/>
    <tableColumn id="2" xr3:uid="{00000000-0010-0000-0000-000002000000}" name="OSC" dataDxfId="88"/>
    <tableColumn id="3" xr3:uid="{00000000-0010-0000-0000-000003000000}" name="OSC TITLE" dataDxfId="87"/>
    <tableColumn id="4" xr3:uid="{00000000-0010-0000-0000-000004000000}" name="PSN NBR" dataDxfId="86"/>
    <tableColumn id="5" xr3:uid="{00000000-0010-0000-0000-000005000000}" name="AFSC" dataDxfId="85"/>
    <tableColumn id="11" xr3:uid="{00000000-0010-0000-0000-00000B000000}" name="AFSC TITLE" dataDxfId="84"/>
    <tableColumn id="6" xr3:uid="{00000000-0010-0000-0000-000006000000}" name="GRADE" dataDxfId="83"/>
    <tableColumn id="7" xr3:uid="{00000000-0010-0000-0000-000007000000}" name="RIC" dataDxfId="82"/>
    <tableColumn id="8" xr3:uid="{64B9E38B-A5E7-4F2F-8300-AF2F1D9F7F22}" name="Fund FYXX" dataDxfId="81"/>
    <tableColumn id="9" xr3:uid="{00000000-0010-0000-0000-000009000000}" name="WORKSHEET ASSIGNMENT" dataDxfId="8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6E70E8F-8FAF-431A-B240-708B6661988B}" name="Table1113" displayName="Table1113" ref="H63:I65" totalsRowShown="0" headerRowDxfId="34" dataDxfId="33">
  <autoFilter ref="H63:I65" xr:uid="{06E70E8F-8FAF-431A-B240-708B6661988B}"/>
  <sortState xmlns:xlrd2="http://schemas.microsoft.com/office/spreadsheetml/2017/richdata2" ref="H64:I65">
    <sortCondition descending="1" ref="H64:H65"/>
  </sortState>
  <tableColumns count="2">
    <tableColumn id="1" xr3:uid="{BF2D50C5-FF7F-44BE-B671-E56635FBFFA5}" name="Circulation Multiplier Selection" dataDxfId="32"/>
    <tableColumn id="2" xr3:uid="{97F8DC88-2693-4C99-A76C-3615DD9F44CA}" name="Circulation Multiplier" dataDxfId="3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614AB97-4456-4B13-9FD2-BEC4EB737B49}" name="Table16" displayName="Table16" ref="H76:I80" totalsRowShown="0" headerRowDxfId="30" dataDxfId="29">
  <autoFilter ref="H76:I80" xr:uid="{F614AB97-4456-4B13-9FD2-BEC4EB737B49}"/>
  <sortState xmlns:xlrd2="http://schemas.microsoft.com/office/spreadsheetml/2017/richdata2" ref="H77:I80">
    <sortCondition descending="1" ref="H77:H80"/>
  </sortState>
  <tableColumns count="2">
    <tableColumn id="1" xr3:uid="{D4AE172A-B8FC-4E79-862F-D53BA31246ED}" name="Net to Gross Multiplier Selection" dataDxfId="28"/>
    <tableColumn id="2" xr3:uid="{C3C07ECC-1B15-4C67-85FC-9AC11CB356CA}" name="Net-to-Gross Multiplier" dataDxfId="27"/>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0BEE39B-BCEC-496A-ABFB-98FEBDDA468F}" name="Table10" displayName="Table10" ref="H55:H60" totalsRowShown="0" headerRowDxfId="26" dataDxfId="24" headerRowBorderDxfId="25" tableBorderDxfId="23">
  <autoFilter ref="H55:H60" xr:uid="{10BEE39B-BCEC-496A-ABFB-98FEBDDA468F}"/>
  <tableColumns count="1">
    <tableColumn id="1" xr3:uid="{E563EFA9-AA0E-42F0-9300-02E823769DF7}" name="Type of Authorization - Support Agreements" data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BB72644-904E-46F2-B2AD-B17CAAEEE48F}" name="OfficeTypeSF22" displayName="OfficeTypeSF22" ref="A1:B10" totalsRowShown="0" headerRowDxfId="79" dataDxfId="78">
  <autoFilter ref="A1:B10" xr:uid="{0BB72644-904E-46F2-B2AD-B17CAAEEE48F}"/>
  <tableColumns count="2">
    <tableColumn id="1" xr3:uid="{B112AF4B-E0CE-46C5-855F-4D3652811FA8}" name="Office Type" dataDxfId="77"/>
    <tableColumn id="2" xr3:uid="{6345584E-5BFF-490B-9B14-8C2ED88DC2A1}" name="SF/Pers" dataDxfId="7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C30F4E5-EBCF-44C9-8C75-B0E57BF67AFC}" name="CATCodeListing" displayName="CATCodeListing" ref="L1:O1048576" totalsRowShown="0" headerRowDxfId="75" dataDxfId="74" tableBorderDxfId="73">
  <autoFilter ref="L1:O1048576" xr:uid="{3C30F4E5-EBCF-44C9-8C75-B0E57BF67AFC}"/>
  <tableColumns count="4">
    <tableColumn id="1" xr3:uid="{D5995216-90DB-4DFC-959E-5125D4911308}" name="CATCode" dataDxfId="72"/>
    <tableColumn id="2" xr3:uid="{DD090846-635E-4D1B-A1DC-8883BDE409EE}" name="CATCode Long Name" dataDxfId="71"/>
    <tableColumn id="3" xr3:uid="{7122251B-8360-4478-AB75-966346AB52E9}" name="CATCode Description" dataDxfId="70"/>
    <tableColumn id="4" xr3:uid="{D583EB0F-01EB-449C-BA2B-3C448F1B031E}" name="Standards/Criteria Reference (if available)" dataDxfId="6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1EC03BC-E987-48B5-BE29-B9395C09CEC5}" name="MeetingSpace24" displayName="MeetingSpace24" ref="Q1:V26" totalsRowShown="0" headerRowDxfId="68" dataDxfId="66" headerRowBorderDxfId="67" tableBorderDxfId="65">
  <tableColumns count="6">
    <tableColumn id="1" xr3:uid="{A64D9A7D-98AA-48DE-AAD1-4026A5D2231F}" name="# PN lower" dataDxfId="64"/>
    <tableColumn id="2" xr3:uid="{979DD9FB-BCA3-4D34-9F81-D1DB95A8D017}" name="#PN upper" dataDxfId="63"/>
    <tableColumn id="3" xr3:uid="{096F0724-2932-40D0-9C8B-E2B62F75C7F6}" name="Team ft2 _x000a_# Seats" dataDxfId="62"/>
    <tableColumn id="4" xr3:uid="{9591DFD7-D154-4175-9AC8-3D308F86EC62}" name="Total Team Rm" dataDxfId="61"/>
    <tableColumn id="5" xr3:uid="{3C497ECB-6BB2-4759-A96F-C3ABD2B57F1A}" name="Total Confer (with 150 Speaker Area)" dataDxfId="60"/>
    <tableColumn id="6" xr3:uid="{8D038D13-A703-45DD-B443-EA2622933102}" name="Total Space NSF" dataDxfId="5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F8D3A59-7D80-4EE2-A4FB-A018ADE454D8}" name="OpenOffices25" displayName="OpenOffices25" ref="A71:B95" totalsRowShown="0" headerRowDxfId="58" dataDxfId="56" headerRowBorderDxfId="57" tableBorderDxfId="55">
  <autoFilter ref="A71:B95" xr:uid="{EF8D3A59-7D80-4EE2-A4FB-A018ADE454D8}"/>
  <sortState xmlns:xlrd2="http://schemas.microsoft.com/office/spreadsheetml/2017/richdata2" ref="A72:B95">
    <sortCondition ref="A71:A95"/>
  </sortState>
  <tableColumns count="2">
    <tableColumn id="1" xr3:uid="{B7DA7696-CF57-49B2-884F-AD605EC4AE87}" name="Position (or Equivalent)" dataDxfId="54"/>
    <tableColumn id="2" xr3:uid="{8EFC66FF-2E1D-4D42-BA61-399E3374A1AD}" name="Office Type" dataDxfId="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DD27C4E-C56D-4E1F-A131-EEAD29EED33E}" name="AdminSpecialPurpose26" displayName="AdminSpecialPurpose26" ref="H1:I46" totalsRowShown="0" headerRowDxfId="52" dataDxfId="50" headerRowBorderDxfId="51" tableBorderDxfId="49">
  <autoFilter ref="H1:I46" xr:uid="{BDD27C4E-C56D-4E1F-A131-EEAD29EED33E}"/>
  <sortState xmlns:xlrd2="http://schemas.microsoft.com/office/spreadsheetml/2017/richdata2" ref="H2:I46">
    <sortCondition ref="H1:H46"/>
  </sortState>
  <tableColumns count="2">
    <tableColumn id="1" xr3:uid="{8E9AE54F-F5A1-4B89-8DC5-543B39D8950C}" name="Admin Special Purpose" dataDxfId="48"/>
    <tableColumn id="2" xr3:uid="{F9F3A415-C98D-4E80-AD11-955C56FA2CB9}" name="SF" dataDxfId="4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16980E2-9C6B-482F-9587-A749B5F399F6}" name="PrivateOffices27" displayName="PrivateOffices27" ref="A13:B68" totalsRowShown="0" headerRowDxfId="46" dataDxfId="45">
  <autoFilter ref="A13:B68" xr:uid="{016980E2-9C6B-482F-9587-A749B5F399F6}"/>
  <sortState xmlns:xlrd2="http://schemas.microsoft.com/office/spreadsheetml/2017/richdata2" ref="A14:B68">
    <sortCondition ref="A13:A68"/>
  </sortState>
  <tableColumns count="2">
    <tableColumn id="1" xr3:uid="{5CD39418-7DAA-4673-8670-C33568AFD546}" name="Position (or Equivalent)" dataDxfId="44"/>
    <tableColumn id="2" xr3:uid="{9070DF06-26A6-4068-A318-FA576344EBAF}" name="Office Type" dataDxfId="4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2DA8761-9F4C-4070-B641-F2A373BCC7B0}" name="Grades28" displayName="Grades28" ref="E1:E112" totalsRowShown="0" headerRowDxfId="42" dataDxfId="41">
  <autoFilter ref="E1:E112" xr:uid="{32DA8761-9F4C-4070-B641-F2A373BCC7B0}"/>
  <tableColumns count="1">
    <tableColumn id="1" xr3:uid="{315F2904-BDFB-44E4-8119-562015E9B3B1}" name="Grades" dataDxfId="4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23CD28A-8623-4D7D-9B6C-EB9740386C62}" name="TWCollaborationSpace29" displayName="TWCollaborationSpace29" ref="Q30:S58" totalsRowShown="0" headerRowDxfId="39" dataDxfId="38">
  <autoFilter ref="Q30:S58" xr:uid="{123CD28A-8623-4D7D-9B6C-EB9740386C62}"/>
  <tableColumns count="3">
    <tableColumn id="1" xr3:uid="{A4D52292-3664-4C51-B556-5726A1DC5731}" name="# PN lower" dataDxfId="37"/>
    <tableColumn id="2" xr3:uid="{041945FC-AF97-44E4-97FA-B0A0FD1CDDED}" name="# PN upper" dataDxfId="36"/>
    <tableColumn id="5" xr3:uid="{48C20F40-7F5A-4846-AE64-6F80BD1B699A}" name="Total Space" dataDxfId="3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wbdg.org/ffc/af-afcec/manuals-afm/afman-32-108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wbdg.org/ffc/af-afcec/manuals-afm/afman-32-1084"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wbdg.org/ffc/af-afcec/manuals-afm/afman-32-1084"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wbdg.org/ffc/af-afcec/manuals-afm/afman-32-1084" TargetMode="External"/></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table" Target="../tables/table2.xml"/><Relationship Id="rId13" Type="http://schemas.openxmlformats.org/officeDocument/2006/relationships/table" Target="../tables/table7.xml"/><Relationship Id="rId18" Type="http://schemas.openxmlformats.org/officeDocument/2006/relationships/table" Target="../tables/table12.xml"/><Relationship Id="rId3" Type="http://schemas.openxmlformats.org/officeDocument/2006/relationships/hyperlink" Target="https://www.wbdg.org/FFC/AF/AFMAN/179021_Mine_Warfare_Area.pdf" TargetMode="External"/><Relationship Id="rId7" Type="http://schemas.openxmlformats.org/officeDocument/2006/relationships/printerSettings" Target="../printerSettings/printerSettings17.bin"/><Relationship Id="rId12" Type="http://schemas.openxmlformats.org/officeDocument/2006/relationships/table" Target="../tables/table6.xml"/><Relationship Id="rId17" Type="http://schemas.openxmlformats.org/officeDocument/2006/relationships/table" Target="../tables/table11.xml"/><Relationship Id="rId2" Type="http://schemas.openxmlformats.org/officeDocument/2006/relationships/hyperlink" Target="https://www.wbdg.org/FFC/AF/AFMAN/179019_Bayonet_Assault_Course.pdf" TargetMode="External"/><Relationship Id="rId16" Type="http://schemas.openxmlformats.org/officeDocument/2006/relationships/table" Target="../tables/table10.xml"/><Relationship Id="rId1" Type="http://schemas.openxmlformats.org/officeDocument/2006/relationships/hyperlink" Target="https://www.wbdg.org/FFC/AF/AFMAN/179001_Training_Mock_Ups.pdf" TargetMode="External"/><Relationship Id="rId6" Type="http://schemas.openxmlformats.org/officeDocument/2006/relationships/hyperlink" Target="https://www.wbdg.org/FFC/AF/AFMAN/740664_Arts_and_Crafts_Center.pdf" TargetMode="External"/><Relationship Id="rId11" Type="http://schemas.openxmlformats.org/officeDocument/2006/relationships/table" Target="../tables/table5.xml"/><Relationship Id="rId5" Type="http://schemas.openxmlformats.org/officeDocument/2006/relationships/hyperlink" Target="https://www.wbdg.org/FFC/AF/AFMAN/179026_Combat_Trail.pdf" TargetMode="External"/><Relationship Id="rId15" Type="http://schemas.openxmlformats.org/officeDocument/2006/relationships/table" Target="../tables/table9.xml"/><Relationship Id="rId10" Type="http://schemas.openxmlformats.org/officeDocument/2006/relationships/table" Target="../tables/table4.xml"/><Relationship Id="rId4" Type="http://schemas.openxmlformats.org/officeDocument/2006/relationships/hyperlink" Target="https://www.wbdg.org/FFC/AF/AFMAN/179024_Prisoner_of_War_Training_Area.pdf" TargetMode="External"/><Relationship Id="rId9" Type="http://schemas.openxmlformats.org/officeDocument/2006/relationships/table" Target="../tables/table3.xml"/><Relationship Id="rId14" Type="http://schemas.openxmlformats.org/officeDocument/2006/relationships/table" Target="../tables/table8.xm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740664_Arts_and_Crafts_Center.pdf" TargetMode="External"/><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bdg.org/ffc/af-afcec/manuals-afm/afman-32-1084"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bdg.org/ffc/af-afcec/manuals-afm/afman-32-1084"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bdg.org/ffc/af-afcec/manuals-afm/afman-32-1084"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bdg.org/ffc/af-afcec/manuals-afm/afman-32-1084"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bdg.org/ffc/af-afcec/manuals-afm/afman-32-1084"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bdg.org/ffc/af-afcec/manuals-afm/afman-32-1084"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wbdg.org/ffc/af-afcec/manuals-afm/afman-32-1084"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wbdg.org/ffc/af-afcec/manuals-afm/afman-32-10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59999389629810485"/>
    <pageSetUpPr fitToPage="1"/>
  </sheetPr>
  <dimension ref="A1:C38"/>
  <sheetViews>
    <sheetView tabSelected="1" zoomScale="80" zoomScaleNormal="80" workbookViewId="0">
      <selection activeCell="E4" sqref="E4"/>
    </sheetView>
  </sheetViews>
  <sheetFormatPr defaultColWidth="8.69140625" defaultRowHeight="14.6" x14ac:dyDescent="0.4"/>
  <cols>
    <col min="1" max="1" width="38.69140625" customWidth="1"/>
    <col min="2" max="2" width="56.69140625" customWidth="1"/>
    <col min="3" max="3" width="14.69140625" customWidth="1"/>
  </cols>
  <sheetData>
    <row r="1" spans="1:3" ht="30" customHeight="1" x14ac:dyDescent="0.4">
      <c r="A1" s="383" t="s">
        <v>0</v>
      </c>
      <c r="B1" s="383"/>
      <c r="C1" s="383"/>
    </row>
    <row r="2" spans="1:3" ht="18" customHeight="1" x14ac:dyDescent="0.4">
      <c r="A2" s="387" t="s">
        <v>3673</v>
      </c>
      <c r="B2" s="387"/>
      <c r="C2" s="384" t="s">
        <v>1</v>
      </c>
    </row>
    <row r="3" spans="1:3" ht="18" customHeight="1" x14ac:dyDescent="0.4">
      <c r="A3" s="188" t="s">
        <v>2</v>
      </c>
      <c r="B3" s="188" t="s">
        <v>3</v>
      </c>
      <c r="C3" s="384"/>
    </row>
    <row r="4" spans="1:3" ht="18" customHeight="1" x14ac:dyDescent="0.4">
      <c r="A4" s="189">
        <v>610127</v>
      </c>
      <c r="B4" s="378" t="str">
        <f>VLOOKUP(A4,CATCodeListing[[#All],[CATCode]:[CATCode Long Name]],2,FALSE)</f>
        <v>Base Engineer Administration</v>
      </c>
      <c r="C4" s="191">
        <f>'XX CES_610127_CE Admin'!G59</f>
        <v>608.32799999999997</v>
      </c>
    </row>
    <row r="5" spans="1:3" ht="18" customHeight="1" x14ac:dyDescent="0.4">
      <c r="A5" s="189">
        <v>610913</v>
      </c>
      <c r="B5" s="378" t="str">
        <f>VLOOKUP(A5,CATCodeListing[[#All],[CATCode]:[CATCode Long Name]],2,FALSE)</f>
        <v>Emergency Management</v>
      </c>
      <c r="C5" s="191">
        <f>'XX CES_610913_Emergency Mgt'!G47</f>
        <v>6189.637999999999</v>
      </c>
    </row>
    <row r="6" spans="1:3" ht="18" customHeight="1" x14ac:dyDescent="0.4">
      <c r="A6" s="189">
        <v>610119</v>
      </c>
      <c r="B6" s="378" t="str">
        <f>VLOOKUP(A6,CATCodeListing[[#All],[CATCode]:[CATCode Long Name]],2,FALSE)</f>
        <v>Family Housing Management Office</v>
      </c>
      <c r="C6" s="191">
        <f>'XX CES_610119_Housing Mgt'!G46</f>
        <v>1077.4959999999999</v>
      </c>
    </row>
    <row r="7" spans="1:3" ht="18" customHeight="1" x14ac:dyDescent="0.4">
      <c r="A7" s="189">
        <v>140421</v>
      </c>
      <c r="B7" s="378" t="str">
        <f>VLOOKUP(A7,CATCodeListing[[#All],[CATCode]:[CATCode Long Name]],2,FALSE)</f>
        <v>Emergency Operations Center</v>
      </c>
      <c r="C7" s="191">
        <f>'XX CES_140421_EOC'!G41</f>
        <v>2618.1959999999999</v>
      </c>
    </row>
    <row r="8" spans="1:3" ht="18" customHeight="1" x14ac:dyDescent="0.4">
      <c r="A8" s="189">
        <v>141165</v>
      </c>
      <c r="B8" s="378" t="str">
        <f>VLOOKUP(A8,CATCodeListing[[#All],[CATCode]:[CATCode Long Name]],2,FALSE)</f>
        <v>Explosive Ordnance Disposal</v>
      </c>
      <c r="C8" s="191">
        <f>'XX CES_141165_EOD'!G50</f>
        <v>7210.76</v>
      </c>
    </row>
    <row r="9" spans="1:3" ht="18" customHeight="1" x14ac:dyDescent="0.4">
      <c r="A9" s="189">
        <v>219943</v>
      </c>
      <c r="B9" s="378" t="str">
        <f>VLOOKUP(A9,CATCodeListing[[#All],[CATCode]:[CATCode Long Name]],2,FALSE)</f>
        <v xml:space="preserve">Base Engineer Horizontal Construction Facility </v>
      </c>
      <c r="C9" s="191">
        <f>'XX CES_219943_Pavements'!G15</f>
        <v>5000</v>
      </c>
    </row>
    <row r="10" spans="1:3" ht="18" customHeight="1" x14ac:dyDescent="0.4">
      <c r="A10" s="189">
        <v>219944</v>
      </c>
      <c r="B10" s="378" t="str">
        <f>VLOOKUP(A10,CATCodeListing[[#All],[CATCode]:[CATCode Long Name]],2,FALSE)</f>
        <v>Base Engineer Maintenance Shop</v>
      </c>
      <c r="C10" s="191">
        <f>'XX CES_219944_CE Shops'!G22</f>
        <v>22125</v>
      </c>
    </row>
    <row r="11" spans="1:3" ht="18" customHeight="1" x14ac:dyDescent="0.4">
      <c r="A11" s="189">
        <v>219946</v>
      </c>
      <c r="B11" s="378" t="str">
        <f>VLOOKUP(A11,CATCodeListing[[#All],[CATCode]:[CATCode Long Name]],2,FALSE)</f>
        <v>Base Engineer Covered Storage Facility</v>
      </c>
      <c r="C11" s="191">
        <f>'XX CES_219946_CE Storage'!G24</f>
        <v>23870</v>
      </c>
    </row>
    <row r="12" spans="1:3" ht="18" customHeight="1" x14ac:dyDescent="0.4">
      <c r="A12" s="189">
        <v>442257</v>
      </c>
      <c r="B12" s="378" t="str">
        <f>VLOOKUP(A12,CATCodeListing[[#All],[CATCode]:[CATCode Long Name]],2,FALSE)</f>
        <v>Base Hazardous Storage</v>
      </c>
      <c r="C12" s="191">
        <f>'XX CES_442257_Hazardous Storage'!G17</f>
        <v>0</v>
      </c>
    </row>
    <row r="13" spans="1:3" ht="18" customHeight="1" x14ac:dyDescent="0.4">
      <c r="A13" s="189">
        <v>442769</v>
      </c>
      <c r="B13" s="378" t="str">
        <f>VLOOKUP(A13,CATCodeListing[[#All],[CATCode]:[CATCode Long Name]],2,FALSE)</f>
        <v>Housing Supplies and Storage Facility</v>
      </c>
      <c r="C13" s="191">
        <f>'XX CES_442769_ Housing Storage'!G33</f>
        <v>431.64</v>
      </c>
    </row>
    <row r="14" spans="1:3" ht="18" customHeight="1" x14ac:dyDescent="0.4">
      <c r="A14" s="189">
        <v>730142</v>
      </c>
      <c r="B14" s="378" t="str">
        <f>VLOOKUP(A14,CATCodeListing[[#All],[CATCode]:[CATCode Long Name]],2,FALSE)</f>
        <v>Fire Station</v>
      </c>
      <c r="C14" s="191">
        <f>'XX CES_730142_Fire Station'!G10</f>
        <v>43677.22</v>
      </c>
    </row>
    <row r="15" spans="1:3" ht="18" customHeight="1" x14ac:dyDescent="0.4">
      <c r="A15" s="189">
        <v>141101</v>
      </c>
      <c r="B15" s="378" t="str">
        <f>VLOOKUP(A15,CATCodeListing[[#All],[CATCode]:[CATCode Long Name]],2,FALSE)</f>
        <v>Airfield Fire and Rescue Station</v>
      </c>
      <c r="C15" s="191">
        <f>'XX CES_141101_Airfield Fire Stn'!G10</f>
        <v>43677.22</v>
      </c>
    </row>
    <row r="16" spans="1:3" ht="18" customHeight="1" x14ac:dyDescent="0.4">
      <c r="A16" s="385" t="s">
        <v>4</v>
      </c>
      <c r="B16" s="385"/>
      <c r="C16" s="192">
        <f>SUM(C4:C15)</f>
        <v>156485.49800000002</v>
      </c>
    </row>
    <row r="17" spans="1:3" ht="18" customHeight="1" x14ac:dyDescent="0.4">
      <c r="A17" s="381"/>
      <c r="B17" s="381"/>
      <c r="C17" s="381"/>
    </row>
    <row r="18" spans="1:3" ht="77.599999999999994" customHeight="1" x14ac:dyDescent="0.4">
      <c r="A18" s="382" t="s">
        <v>3625</v>
      </c>
      <c r="B18" s="382"/>
      <c r="C18" s="382"/>
    </row>
    <row r="19" spans="1:3" s="36" customFormat="1" ht="60.45" customHeight="1" x14ac:dyDescent="0.4">
      <c r="A19" s="386" t="s">
        <v>3626</v>
      </c>
      <c r="B19" s="382"/>
      <c r="C19" s="382"/>
    </row>
    <row r="20" spans="1:3" s="36" customFormat="1" ht="29.6" customHeight="1" x14ac:dyDescent="0.4">
      <c r="A20" s="379"/>
      <c r="B20" s="379"/>
      <c r="C20" s="380"/>
    </row>
    <row r="21" spans="1:3" ht="15" customHeight="1" x14ac:dyDescent="0.4">
      <c r="A21" s="389" t="s">
        <v>5</v>
      </c>
      <c r="B21" s="389"/>
      <c r="C21" s="389"/>
    </row>
    <row r="22" spans="1:3" ht="15" customHeight="1" x14ac:dyDescent="0.4">
      <c r="A22" s="193" t="s">
        <v>6</v>
      </c>
      <c r="B22" s="390"/>
      <c r="C22" s="390"/>
    </row>
    <row r="23" spans="1:3" ht="15" customHeight="1" x14ac:dyDescent="0.4">
      <c r="A23" s="193" t="s">
        <v>7</v>
      </c>
      <c r="B23" s="388"/>
      <c r="C23" s="388"/>
    </row>
    <row r="24" spans="1:3" ht="15" customHeight="1" x14ac:dyDescent="0.4">
      <c r="A24" s="193" t="s">
        <v>8</v>
      </c>
      <c r="B24" s="388"/>
      <c r="C24" s="388"/>
    </row>
    <row r="25" spans="1:3" ht="15" customHeight="1" x14ac:dyDescent="0.4">
      <c r="A25" s="193" t="s">
        <v>9</v>
      </c>
      <c r="B25" s="390"/>
      <c r="C25" s="390"/>
    </row>
    <row r="26" spans="1:3" ht="15" customHeight="1" x14ac:dyDescent="0.4">
      <c r="A26" s="193" t="s">
        <v>10</v>
      </c>
      <c r="B26" s="388" t="s">
        <v>3918</v>
      </c>
      <c r="C26" s="388"/>
    </row>
    <row r="27" spans="1:3" ht="15" customHeight="1" x14ac:dyDescent="0.4">
      <c r="A27" s="379"/>
      <c r="B27" s="379"/>
      <c r="C27" s="379"/>
    </row>
    <row r="28" spans="1:3" x14ac:dyDescent="0.4">
      <c r="A28" s="16"/>
      <c r="B28" s="16"/>
      <c r="C28" s="16"/>
    </row>
    <row r="29" spans="1:3" ht="18.45" x14ac:dyDescent="0.4">
      <c r="B29" s="302" t="s">
        <v>14</v>
      </c>
    </row>
    <row r="30" spans="1:3" ht="18.45" x14ac:dyDescent="0.4">
      <c r="B30" s="27" t="s">
        <v>3627</v>
      </c>
    </row>
    <row r="31" spans="1:3" ht="18.45" x14ac:dyDescent="0.4">
      <c r="B31" s="27" t="s">
        <v>11</v>
      </c>
    </row>
    <row r="32" spans="1:3" ht="18.45" x14ac:dyDescent="0.4">
      <c r="B32" s="27" t="s">
        <v>12</v>
      </c>
    </row>
    <row r="33" spans="1:3" ht="18.45" x14ac:dyDescent="0.4">
      <c r="B33" s="28" t="s">
        <v>13</v>
      </c>
    </row>
    <row r="38" spans="1:3" ht="60" customHeight="1" x14ac:dyDescent="0.4">
      <c r="A38" s="24"/>
      <c r="B38" s="24"/>
      <c r="C38" s="24"/>
    </row>
  </sheetData>
  <mergeCells count="15">
    <mergeCell ref="B24:C24"/>
    <mergeCell ref="A27:C27"/>
    <mergeCell ref="A21:C21"/>
    <mergeCell ref="B26:C26"/>
    <mergeCell ref="B22:C22"/>
    <mergeCell ref="B25:C25"/>
    <mergeCell ref="B23:C23"/>
    <mergeCell ref="A20:C20"/>
    <mergeCell ref="A17:C17"/>
    <mergeCell ref="A18:C18"/>
    <mergeCell ref="A1:C1"/>
    <mergeCell ref="C2:C3"/>
    <mergeCell ref="A16:B16"/>
    <mergeCell ref="A19:C19"/>
    <mergeCell ref="A2:B2"/>
  </mergeCells>
  <dataValidations count="1">
    <dataValidation allowBlank="1" showErrorMessage="1" promptTitle="CATCode Title" prompt="Auto-populates based on the CATCode (CC) selected." sqref="B4:B15" xr:uid="{B55754A8-50FB-4441-8E5B-89D0A706C065}"/>
  </dataValidations>
  <printOptions horizontalCentered="1"/>
  <pageMargins left="0.25" right="0.25" top="0.75" bottom="0.75" header="0.3" footer="0.3"/>
  <pageSetup scale="92" fitToHeight="0" orientation="portrait"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86F8E3C-F59F-4CBD-839F-776F6D3670E0}">
          <x14:formula1>
            <xm:f>'Sheet References'!$L:$L</xm:f>
          </x14:formula1>
          <xm:sqref>A5:A15</xm:sqref>
        </x14:dataValidation>
        <x14:dataValidation type="list" allowBlank="1" showInputMessage="1" showErrorMessage="1" xr:uid="{F7C3B730-B598-496C-B0AC-EC57DA88A243}">
          <x14:formula1>
            <xm:f>'Sheet References'!$L$1:$L$1009</xm:f>
          </x14:formula1>
          <xm:sqref>A4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5CEC3-6EEA-49C7-8573-B82717158884}">
  <sheetPr>
    <tabColor rgb="FF00B050"/>
    <pageSetUpPr fitToPage="1"/>
  </sheetPr>
  <dimension ref="A1:P17"/>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442257</v>
      </c>
      <c r="F1" s="260"/>
      <c r="G1" s="260"/>
      <c r="H1" s="260"/>
      <c r="I1"/>
      <c r="J1"/>
      <c r="K1"/>
      <c r="L1"/>
      <c r="M1"/>
      <c r="N1"/>
      <c r="O1"/>
      <c r="P1"/>
    </row>
    <row r="2" spans="1:16" ht="21" customHeight="1" x14ac:dyDescent="0.4">
      <c r="A2" s="405" t="s">
        <v>3627</v>
      </c>
      <c r="B2" s="405"/>
      <c r="C2" s="260"/>
      <c r="D2" s="258" t="s">
        <v>16</v>
      </c>
      <c r="E2" s="259" t="str">
        <f>VLOOKUP(E1,'Sheet References'!L1:M1009,2,FALSE)</f>
        <v>Base Hazardous Storage</v>
      </c>
      <c r="F2" s="260"/>
      <c r="G2" s="260"/>
      <c r="H2" s="260"/>
    </row>
    <row r="3" spans="1:16" ht="21" customHeight="1" x14ac:dyDescent="0.4">
      <c r="A3" s="405" t="s">
        <v>11</v>
      </c>
      <c r="B3" s="405"/>
      <c r="C3" s="258"/>
      <c r="D3" s="258" t="s">
        <v>17</v>
      </c>
      <c r="E3" s="259" t="str">
        <f>VLOOKUP(CATCode,'Sheet References'!L:O,4,FALSE)</f>
        <v>https://www.wbdg.org/FFC/AF/AFMAN/442257_Base_Hazardous_Storage.pdf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ht="43.75" x14ac:dyDescent="0.4">
      <c r="A8" s="428" t="s">
        <v>3629</v>
      </c>
      <c r="B8" s="429"/>
      <c r="C8" s="429"/>
      <c r="D8" s="430"/>
      <c r="E8" s="267"/>
      <c r="F8" s="254">
        <v>1</v>
      </c>
      <c r="G8" s="267">
        <f>E8*F8</f>
        <v>0</v>
      </c>
      <c r="H8" s="277" t="s">
        <v>3631</v>
      </c>
      <c r="I8" s="1"/>
      <c r="J8" s="1"/>
      <c r="K8" s="1"/>
      <c r="L8" s="1"/>
      <c r="M8" s="1"/>
      <c r="N8" s="1"/>
      <c r="O8" s="1"/>
      <c r="P8" s="1"/>
    </row>
    <row r="9" spans="1:16" x14ac:dyDescent="0.4">
      <c r="A9" s="428"/>
      <c r="B9" s="429"/>
      <c r="C9" s="429"/>
      <c r="D9" s="430"/>
      <c r="E9" s="267"/>
      <c r="F9" s="254">
        <v>1</v>
      </c>
      <c r="G9" s="267">
        <v>0</v>
      </c>
      <c r="H9" s="274"/>
      <c r="I9" s="1"/>
      <c r="J9" s="1"/>
      <c r="K9" s="1"/>
      <c r="L9" s="1"/>
      <c r="M9" s="1"/>
      <c r="N9" s="1"/>
      <c r="O9" s="1"/>
      <c r="P9" s="1"/>
    </row>
    <row r="10" spans="1:16" x14ac:dyDescent="0.4">
      <c r="A10" s="412" t="s">
        <v>90</v>
      </c>
      <c r="B10" s="412"/>
      <c r="C10" s="412"/>
      <c r="D10" s="412"/>
      <c r="E10" s="272" t="s">
        <v>42</v>
      </c>
      <c r="F10" s="251"/>
      <c r="G10" s="276">
        <f>SUM(G8:G9)</f>
        <v>0</v>
      </c>
      <c r="H10" s="270"/>
    </row>
    <row r="11" spans="1:16" x14ac:dyDescent="0.4">
      <c r="A11" s="407" t="s">
        <v>125</v>
      </c>
      <c r="B11" s="408"/>
      <c r="C11" s="408"/>
      <c r="D11" s="408"/>
      <c r="E11" s="275">
        <v>0</v>
      </c>
      <c r="F11" s="267"/>
      <c r="G11" s="252">
        <f>E11*G10</f>
        <v>0</v>
      </c>
      <c r="H11" s="270"/>
    </row>
    <row r="12" spans="1:16" x14ac:dyDescent="0.4">
      <c r="A12" s="412" t="s">
        <v>92</v>
      </c>
      <c r="B12" s="413"/>
      <c r="C12" s="413"/>
      <c r="D12" s="413"/>
      <c r="E12" s="271" t="s">
        <v>42</v>
      </c>
      <c r="F12" s="253"/>
      <c r="G12" s="276">
        <f>SUM(G10:G11)</f>
        <v>0</v>
      </c>
      <c r="H12" s="270"/>
    </row>
    <row r="13" spans="1:16" x14ac:dyDescent="0.4">
      <c r="A13" s="413"/>
      <c r="B13" s="413"/>
      <c r="C13" s="413"/>
      <c r="D13" s="413"/>
      <c r="E13" s="413"/>
      <c r="F13" s="413"/>
      <c r="G13" s="413"/>
      <c r="H13" s="413"/>
    </row>
    <row r="14" spans="1:16" s="4" customFormat="1" ht="15.9" x14ac:dyDescent="0.4">
      <c r="A14" s="410" t="s">
        <v>93</v>
      </c>
      <c r="B14" s="409"/>
      <c r="C14" s="409"/>
      <c r="D14" s="409"/>
      <c r="E14" s="409"/>
      <c r="F14" s="409"/>
      <c r="G14" s="409"/>
      <c r="H14" s="409"/>
      <c r="I14"/>
      <c r="J14"/>
      <c r="K14"/>
      <c r="L14"/>
      <c r="M14"/>
      <c r="N14"/>
      <c r="O14"/>
      <c r="P14"/>
    </row>
    <row r="15" spans="1:16" x14ac:dyDescent="0.4">
      <c r="A15" s="414" t="s">
        <v>94</v>
      </c>
      <c r="B15" s="413"/>
      <c r="C15" s="413"/>
      <c r="D15" s="413"/>
      <c r="E15" s="255" t="s">
        <v>95</v>
      </c>
      <c r="F15" s="256"/>
      <c r="G15" s="252">
        <f>G12</f>
        <v>0</v>
      </c>
      <c r="H15" s="274"/>
    </row>
    <row r="16" spans="1:16" ht="29.15" x14ac:dyDescent="0.4">
      <c r="A16" s="414" t="s">
        <v>96</v>
      </c>
      <c r="B16" s="411"/>
      <c r="C16" s="411"/>
      <c r="D16" s="411"/>
      <c r="E16" s="275">
        <v>0.25</v>
      </c>
      <c r="F16" s="268"/>
      <c r="G16" s="269">
        <f>G15*E16</f>
        <v>0</v>
      </c>
      <c r="H16" s="250" t="s">
        <v>3681</v>
      </c>
    </row>
    <row r="17" spans="5:7" x14ac:dyDescent="0.4">
      <c r="E17" s="272" t="s">
        <v>98</v>
      </c>
      <c r="F17" s="257"/>
      <c r="G17" s="276">
        <f>SUM(G15:G16)</f>
        <v>0</v>
      </c>
    </row>
  </sheetData>
  <mergeCells count="15">
    <mergeCell ref="A1:B1"/>
    <mergeCell ref="A2:B2"/>
    <mergeCell ref="A3:B3"/>
    <mergeCell ref="A4:B4"/>
    <mergeCell ref="A5:B5"/>
    <mergeCell ref="A13:H13"/>
    <mergeCell ref="A14:H14"/>
    <mergeCell ref="A15:D15"/>
    <mergeCell ref="A16:D16"/>
    <mergeCell ref="A7:H7"/>
    <mergeCell ref="A8:D8"/>
    <mergeCell ref="A9:D9"/>
    <mergeCell ref="A10:D10"/>
    <mergeCell ref="A11:D11"/>
    <mergeCell ref="A12:D12"/>
  </mergeCells>
  <hyperlinks>
    <hyperlink ref="H6" r:id="rId1" display="WBDG - AFMAN 32-1084" xr:uid="{B2FAA91F-3216-45E4-9906-AE001A5AF7DB}"/>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545A5A1-5DC3-487E-9D30-08AE22DF8D40}">
          <x14:formula1>
            <xm:f>'Sheet References'!$L$1:$L$874</xm:f>
          </x14:formula1>
          <xm:sqref>E1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27268-371A-49A6-99EC-C9A275DFB513}">
  <sheetPr codeName="Sheet10">
    <tabColor rgb="FF00B050"/>
    <pageSetUpPr fitToPage="1"/>
  </sheetPr>
  <dimension ref="A1:P33"/>
  <sheetViews>
    <sheetView zoomScale="80" zoomScaleNormal="80" workbookViewId="0">
      <selection activeCell="E15" sqref="E15:E17"/>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53.765625" bestFit="1" customWidth="1"/>
    <col min="17" max="16384" width="9.3046875" style="1"/>
  </cols>
  <sheetData>
    <row r="1" spans="1:16" s="5" customFormat="1" ht="21" customHeight="1" x14ac:dyDescent="0.4">
      <c r="A1" s="404" t="s">
        <v>14</v>
      </c>
      <c r="B1" s="404"/>
      <c r="C1" s="258"/>
      <c r="D1" s="258" t="s">
        <v>15</v>
      </c>
      <c r="E1" s="259">
        <v>442769</v>
      </c>
      <c r="F1" s="260"/>
      <c r="G1" s="260"/>
      <c r="H1" s="260"/>
      <c r="I1"/>
      <c r="J1"/>
      <c r="K1"/>
      <c r="L1"/>
      <c r="M1"/>
      <c r="N1"/>
      <c r="O1"/>
      <c r="P1"/>
    </row>
    <row r="2" spans="1:16" ht="21" customHeight="1" x14ac:dyDescent="0.4">
      <c r="A2" s="405" t="s">
        <v>3627</v>
      </c>
      <c r="B2" s="405"/>
      <c r="C2" s="260"/>
      <c r="D2" s="258" t="s">
        <v>16</v>
      </c>
      <c r="E2" s="259" t="str">
        <f>VLOOKUP(E1,'Sheet References'!L1:M1009,2,FALSE)</f>
        <v>Housing Supplies and Storage Facility</v>
      </c>
      <c r="F2" s="260"/>
      <c r="G2" s="260"/>
      <c r="H2" s="260"/>
    </row>
    <row r="3" spans="1:16" ht="21" customHeight="1" x14ac:dyDescent="0.4">
      <c r="A3" s="405" t="s">
        <v>11</v>
      </c>
      <c r="B3" s="405"/>
      <c r="C3" s="258"/>
      <c r="D3" s="258" t="s">
        <v>17</v>
      </c>
      <c r="E3" s="259" t="str">
        <f>VLOOKUP(CATCode,'Sheet References'!L:O,4,FALSE)</f>
        <v>https://www.wbdg.org/FFC/AF/AFMAN/442769_Housing_Supplies_and_Storage_Fac.pdf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22" customFormat="1" ht="15.9" x14ac:dyDescent="0.4">
      <c r="A7" s="396" t="s">
        <v>46</v>
      </c>
      <c r="B7" s="396"/>
      <c r="C7" s="396"/>
      <c r="D7" s="396"/>
      <c r="E7" s="396"/>
      <c r="F7" s="396"/>
      <c r="G7" s="396"/>
      <c r="H7" s="396"/>
      <c r="I7"/>
      <c r="J7"/>
      <c r="K7"/>
      <c r="L7"/>
      <c r="M7"/>
      <c r="N7"/>
      <c r="O7"/>
      <c r="P7"/>
    </row>
    <row r="8" spans="1:16" s="22" customFormat="1" x14ac:dyDescent="0.4">
      <c r="A8" s="237" t="s">
        <v>120</v>
      </c>
      <c r="B8" s="238" t="s">
        <v>47</v>
      </c>
      <c r="C8" s="239" t="str">
        <f>VLOOKUP(B8,OpenOffices25[#All],2,FALSE)</f>
        <v>Office Type E (Open)</v>
      </c>
      <c r="D8" s="237" t="s">
        <v>32</v>
      </c>
      <c r="E8" s="267">
        <f>VLOOKUP(C8,OfficeTypeSF22[#All],2,FALSE)</f>
        <v>65</v>
      </c>
      <c r="F8" s="237">
        <v>1</v>
      </c>
      <c r="G8" s="240">
        <f>E8*F8</f>
        <v>65</v>
      </c>
      <c r="H8" s="242" t="s">
        <v>3651</v>
      </c>
      <c r="I8"/>
      <c r="J8"/>
      <c r="K8"/>
      <c r="L8"/>
      <c r="M8"/>
      <c r="N8"/>
      <c r="O8"/>
      <c r="P8"/>
    </row>
    <row r="9" spans="1:16" s="22" customFormat="1" x14ac:dyDescent="0.4">
      <c r="A9" s="237" t="s">
        <v>121</v>
      </c>
      <c r="B9" s="238" t="s">
        <v>54</v>
      </c>
      <c r="C9" s="239" t="str">
        <f>VLOOKUP(B9,OpenOffices25[#All],2,FALSE)</f>
        <v>Office Type F (Open)</v>
      </c>
      <c r="D9" s="237" t="s">
        <v>32</v>
      </c>
      <c r="E9" s="267">
        <f>VLOOKUP(C9,OfficeTypeSF22[#All],2,FALSE)</f>
        <v>36</v>
      </c>
      <c r="F9" s="237">
        <v>1</v>
      </c>
      <c r="G9" s="240">
        <f>E9*F9</f>
        <v>36</v>
      </c>
      <c r="H9" s="242" t="s">
        <v>3651</v>
      </c>
      <c r="I9"/>
      <c r="J9"/>
      <c r="K9"/>
      <c r="L9"/>
      <c r="M9"/>
      <c r="N9"/>
      <c r="O9"/>
      <c r="P9"/>
    </row>
    <row r="10" spans="1:16" s="22" customFormat="1" x14ac:dyDescent="0.4">
      <c r="A10" s="397" t="s">
        <v>58</v>
      </c>
      <c r="B10" s="398"/>
      <c r="C10" s="398"/>
      <c r="D10" s="398"/>
      <c r="E10" s="243" t="s">
        <v>42</v>
      </c>
      <c r="F10" s="272">
        <f>SUM(F8:F9)</f>
        <v>2</v>
      </c>
      <c r="G10" s="244">
        <f>SUM(G8:G9)</f>
        <v>101</v>
      </c>
      <c r="H10" s="242"/>
      <c r="I10"/>
      <c r="J10"/>
      <c r="K10"/>
      <c r="L10"/>
      <c r="M10"/>
      <c r="N10"/>
      <c r="O10"/>
      <c r="P10"/>
    </row>
    <row r="11" spans="1:16" s="22" customFormat="1" ht="14.5" customHeight="1" x14ac:dyDescent="0.4">
      <c r="A11" s="399" t="s">
        <v>59</v>
      </c>
      <c r="B11" s="400"/>
      <c r="C11" s="400"/>
      <c r="D11" s="400"/>
      <c r="E11" s="245">
        <v>0.6</v>
      </c>
      <c r="F11" s="237"/>
      <c r="G11" s="246">
        <f>G10*E11</f>
        <v>60.599999999999994</v>
      </c>
      <c r="H11" s="242" t="s">
        <v>44</v>
      </c>
      <c r="I11"/>
      <c r="J11"/>
      <c r="K11"/>
      <c r="L11"/>
      <c r="M11"/>
      <c r="N11"/>
      <c r="O11"/>
      <c r="P11"/>
    </row>
    <row r="12" spans="1:16" s="23" customFormat="1" ht="15.9" x14ac:dyDescent="0.4">
      <c r="A12" s="397" t="s">
        <v>60</v>
      </c>
      <c r="B12" s="398"/>
      <c r="C12" s="398"/>
      <c r="D12" s="398"/>
      <c r="E12" s="243" t="s">
        <v>42</v>
      </c>
      <c r="F12" s="243"/>
      <c r="G12" s="244">
        <f>G11+G10</f>
        <v>161.6</v>
      </c>
      <c r="H12" s="247"/>
      <c r="I12"/>
      <c r="J12"/>
      <c r="K12"/>
      <c r="L12"/>
      <c r="M12"/>
      <c r="N12"/>
      <c r="O12"/>
      <c r="P12"/>
    </row>
    <row r="13" spans="1:16" x14ac:dyDescent="0.4">
      <c r="A13" s="415"/>
      <c r="B13" s="402"/>
      <c r="C13" s="402"/>
      <c r="D13" s="402"/>
      <c r="E13" s="402"/>
      <c r="F13" s="402"/>
      <c r="G13" s="402"/>
      <c r="H13" s="403"/>
    </row>
    <row r="14" spans="1:16" s="4" customFormat="1" ht="15.9" x14ac:dyDescent="0.4">
      <c r="A14" s="410" t="s">
        <v>61</v>
      </c>
      <c r="B14" s="410"/>
      <c r="C14" s="410"/>
      <c r="D14" s="410"/>
      <c r="E14" s="410"/>
      <c r="F14" s="410"/>
      <c r="G14" s="410"/>
      <c r="H14" s="410"/>
      <c r="I14"/>
      <c r="J14"/>
      <c r="K14"/>
      <c r="L14"/>
      <c r="M14"/>
      <c r="N14"/>
      <c r="O14"/>
      <c r="P14"/>
    </row>
    <row r="15" spans="1:16" s="4" customFormat="1" ht="58.3" x14ac:dyDescent="0.4">
      <c r="A15" s="411" t="s">
        <v>62</v>
      </c>
      <c r="B15" s="411"/>
      <c r="C15" s="411"/>
      <c r="D15" s="411"/>
      <c r="E15" s="202">
        <f>VLOOKUP(A15,AdminSpecialPurpose26[#All],2,TRUE)</f>
        <v>8</v>
      </c>
      <c r="F15" s="248">
        <f>F10</f>
        <v>2</v>
      </c>
      <c r="G15" s="269">
        <f>E15*F15</f>
        <v>16</v>
      </c>
      <c r="H15" s="270" t="s">
        <v>63</v>
      </c>
      <c r="I15" s="305" t="s">
        <v>3632</v>
      </c>
      <c r="J15"/>
      <c r="K15"/>
      <c r="L15"/>
      <c r="M15"/>
      <c r="N15"/>
      <c r="O15"/>
      <c r="P15"/>
    </row>
    <row r="16" spans="1:16" s="4" customFormat="1" ht="29.15" x14ac:dyDescent="0.4">
      <c r="A16" s="411" t="s">
        <v>65</v>
      </c>
      <c r="B16" s="413"/>
      <c r="C16" s="413"/>
      <c r="D16" s="413"/>
      <c r="E16" s="202">
        <f>VLOOKUP(A16,AdminSpecialPurpose26[#All],2,TRUE)</f>
        <v>3</v>
      </c>
      <c r="F16" s="249">
        <f>(F10)</f>
        <v>2</v>
      </c>
      <c r="G16" s="269">
        <f>MAX(E16*F16,50)</f>
        <v>50</v>
      </c>
      <c r="H16" s="270" t="s">
        <v>66</v>
      </c>
      <c r="I16" s="305" t="s">
        <v>3632</v>
      </c>
      <c r="J16"/>
      <c r="K16"/>
      <c r="L16"/>
      <c r="M16"/>
      <c r="N16"/>
      <c r="O16"/>
      <c r="P16"/>
    </row>
    <row r="17" spans="1:16" s="4" customFormat="1" ht="15.9" x14ac:dyDescent="0.4">
      <c r="A17" s="411" t="s">
        <v>112</v>
      </c>
      <c r="B17" s="413"/>
      <c r="C17" s="413"/>
      <c r="D17" s="413"/>
      <c r="E17" s="202">
        <f>VLOOKUP(A17,AdminSpecialPurpose26[#All],2,TRUE)</f>
        <v>36</v>
      </c>
      <c r="F17" s="249">
        <v>1</v>
      </c>
      <c r="G17" s="269">
        <f>(E17*F17)</f>
        <v>36</v>
      </c>
      <c r="H17" s="274" t="s">
        <v>122</v>
      </c>
      <c r="I17" s="305" t="s">
        <v>3632</v>
      </c>
      <c r="J17"/>
      <c r="K17"/>
      <c r="L17"/>
      <c r="M17"/>
      <c r="N17"/>
      <c r="O17"/>
      <c r="P17"/>
    </row>
    <row r="18" spans="1:16" x14ac:dyDescent="0.4">
      <c r="A18" s="412" t="s">
        <v>76</v>
      </c>
      <c r="B18" s="412"/>
      <c r="C18" s="412"/>
      <c r="D18" s="412"/>
      <c r="E18" s="272" t="s">
        <v>42</v>
      </c>
      <c r="F18" s="251"/>
      <c r="G18" s="276">
        <f>SUM(G15:G17)</f>
        <v>102</v>
      </c>
      <c r="H18" s="270"/>
    </row>
    <row r="19" spans="1:16" x14ac:dyDescent="0.4">
      <c r="A19" s="407" t="s">
        <v>77</v>
      </c>
      <c r="B19" s="408"/>
      <c r="C19" s="408"/>
      <c r="D19" s="408"/>
      <c r="E19" s="275">
        <v>0.4</v>
      </c>
      <c r="F19" s="267"/>
      <c r="G19" s="252">
        <f>E19*G18</f>
        <v>40.800000000000004</v>
      </c>
      <c r="H19" s="270" t="s">
        <v>44</v>
      </c>
    </row>
    <row r="20" spans="1:16" x14ac:dyDescent="0.4">
      <c r="A20" s="412" t="s">
        <v>78</v>
      </c>
      <c r="B20" s="413"/>
      <c r="C20" s="413"/>
      <c r="D20" s="413"/>
      <c r="E20" s="271" t="s">
        <v>42</v>
      </c>
      <c r="F20" s="253"/>
      <c r="G20" s="276">
        <f>SUM(G18:G19)</f>
        <v>142.80000000000001</v>
      </c>
      <c r="H20" s="270"/>
    </row>
    <row r="21" spans="1:16" x14ac:dyDescent="0.4">
      <c r="A21" s="413"/>
      <c r="B21" s="413"/>
      <c r="C21" s="413"/>
      <c r="D21" s="413"/>
      <c r="E21" s="413"/>
      <c r="F21" s="413"/>
      <c r="G21" s="413"/>
      <c r="H21" s="413"/>
    </row>
    <row r="22" spans="1:16" s="4" customFormat="1" ht="15.9" x14ac:dyDescent="0.4">
      <c r="A22" s="410" t="s">
        <v>79</v>
      </c>
      <c r="B22" s="409"/>
      <c r="C22" s="409"/>
      <c r="D22" s="409"/>
      <c r="E22" s="409"/>
      <c r="F22" s="409"/>
      <c r="G22" s="409"/>
      <c r="H22" s="409"/>
      <c r="I22"/>
      <c r="J22"/>
      <c r="K22"/>
      <c r="L22"/>
      <c r="M22"/>
      <c r="N22"/>
      <c r="O22"/>
      <c r="P22"/>
    </row>
    <row r="23" spans="1:16" ht="43.75" x14ac:dyDescent="0.4">
      <c r="A23" s="428" t="s">
        <v>123</v>
      </c>
      <c r="B23" s="429"/>
      <c r="C23" s="429"/>
      <c r="D23" s="430"/>
      <c r="E23" s="267">
        <v>10</v>
      </c>
      <c r="F23" s="254">
        <v>1</v>
      </c>
      <c r="G23" s="267">
        <f>E23*F23</f>
        <v>10</v>
      </c>
      <c r="H23" s="277" t="s">
        <v>3677</v>
      </c>
      <c r="I23" s="1"/>
      <c r="J23" s="1"/>
      <c r="K23" s="1"/>
      <c r="L23" s="1"/>
      <c r="M23" s="1"/>
      <c r="N23" s="1"/>
      <c r="O23" s="1"/>
      <c r="P23" s="1"/>
    </row>
    <row r="24" spans="1:16" ht="43.75" x14ac:dyDescent="0.4">
      <c r="A24" s="428" t="s">
        <v>3661</v>
      </c>
      <c r="B24" s="429"/>
      <c r="C24" s="429"/>
      <c r="D24" s="430"/>
      <c r="E24" s="267">
        <v>35</v>
      </c>
      <c r="F24" s="254">
        <v>1</v>
      </c>
      <c r="G24" s="267">
        <f>E24*F24</f>
        <v>35</v>
      </c>
      <c r="H24" s="277" t="s">
        <v>3662</v>
      </c>
      <c r="I24" s="1"/>
      <c r="J24" s="1"/>
      <c r="K24" s="1"/>
      <c r="L24" s="1"/>
      <c r="M24" s="1"/>
      <c r="N24" s="1"/>
      <c r="O24" s="1"/>
      <c r="P24" s="1"/>
    </row>
    <row r="25" spans="1:16" ht="58.3" x14ac:dyDescent="0.4">
      <c r="A25" s="428" t="s">
        <v>124</v>
      </c>
      <c r="B25" s="429"/>
      <c r="C25" s="429"/>
      <c r="D25" s="430"/>
      <c r="E25" s="267">
        <v>35</v>
      </c>
      <c r="F25" s="254">
        <v>1</v>
      </c>
      <c r="G25" s="267">
        <f>E25*F25</f>
        <v>35</v>
      </c>
      <c r="H25" s="277" t="s">
        <v>3678</v>
      </c>
      <c r="I25" s="307" t="s">
        <v>3663</v>
      </c>
      <c r="J25" s="1"/>
      <c r="K25" s="1"/>
      <c r="L25" s="1"/>
      <c r="M25" s="1"/>
      <c r="N25" s="1"/>
      <c r="O25" s="1"/>
      <c r="P25" s="1"/>
    </row>
    <row r="26" spans="1:16" x14ac:dyDescent="0.4">
      <c r="A26" s="412" t="s">
        <v>90</v>
      </c>
      <c r="B26" s="412"/>
      <c r="C26" s="412"/>
      <c r="D26" s="412"/>
      <c r="E26" s="272" t="s">
        <v>42</v>
      </c>
      <c r="F26" s="251"/>
      <c r="G26" s="276">
        <f>SUM(G23:G25)</f>
        <v>80</v>
      </c>
      <c r="H26" s="270"/>
    </row>
    <row r="27" spans="1:16" x14ac:dyDescent="0.4">
      <c r="A27" s="407" t="s">
        <v>125</v>
      </c>
      <c r="B27" s="408"/>
      <c r="C27" s="408"/>
      <c r="D27" s="408"/>
      <c r="E27" s="275">
        <v>0.1</v>
      </c>
      <c r="F27" s="267"/>
      <c r="G27" s="252">
        <f>E27*G26</f>
        <v>8</v>
      </c>
      <c r="H27" s="270" t="s">
        <v>126</v>
      </c>
    </row>
    <row r="28" spans="1:16" x14ac:dyDescent="0.4">
      <c r="A28" s="412" t="s">
        <v>92</v>
      </c>
      <c r="B28" s="413"/>
      <c r="C28" s="413"/>
      <c r="D28" s="413"/>
      <c r="E28" s="271" t="s">
        <v>42</v>
      </c>
      <c r="F28" s="253"/>
      <c r="G28" s="276">
        <f>SUM(G26:G27)</f>
        <v>88</v>
      </c>
      <c r="H28" s="270"/>
    </row>
    <row r="29" spans="1:16" x14ac:dyDescent="0.4">
      <c r="A29" s="413"/>
      <c r="B29" s="413"/>
      <c r="C29" s="413"/>
      <c r="D29" s="413"/>
      <c r="E29" s="413"/>
      <c r="F29" s="413"/>
      <c r="G29" s="413"/>
      <c r="H29" s="413"/>
    </row>
    <row r="30" spans="1:16" s="4" customFormat="1" ht="15.9" x14ac:dyDescent="0.4">
      <c r="A30" s="410" t="s">
        <v>93</v>
      </c>
      <c r="B30" s="409"/>
      <c r="C30" s="409"/>
      <c r="D30" s="409"/>
      <c r="E30" s="409"/>
      <c r="F30" s="409"/>
      <c r="G30" s="409"/>
      <c r="H30" s="409"/>
      <c r="I30"/>
      <c r="J30"/>
      <c r="K30"/>
      <c r="L30"/>
      <c r="M30"/>
      <c r="N30"/>
      <c r="O30"/>
      <c r="P30"/>
    </row>
    <row r="31" spans="1:16" x14ac:dyDescent="0.4">
      <c r="A31" s="414" t="s">
        <v>94</v>
      </c>
      <c r="B31" s="413"/>
      <c r="C31" s="413"/>
      <c r="D31" s="413"/>
      <c r="E31" s="255" t="s">
        <v>95</v>
      </c>
      <c r="F31" s="256"/>
      <c r="G31" s="252">
        <f>G12+G20+G28</f>
        <v>392.4</v>
      </c>
      <c r="H31" s="274"/>
    </row>
    <row r="32" spans="1:16" ht="29.15" x14ac:dyDescent="0.4">
      <c r="A32" s="414" t="s">
        <v>96</v>
      </c>
      <c r="B32" s="411"/>
      <c r="C32" s="411"/>
      <c r="D32" s="411"/>
      <c r="E32" s="275">
        <v>0.1</v>
      </c>
      <c r="F32" s="268"/>
      <c r="G32" s="269">
        <f>G31*E32</f>
        <v>39.24</v>
      </c>
      <c r="H32" s="250" t="s">
        <v>3664</v>
      </c>
    </row>
    <row r="33" spans="5:7" x14ac:dyDescent="0.4">
      <c r="E33" s="272" t="s">
        <v>98</v>
      </c>
      <c r="F33" s="257"/>
      <c r="G33" s="276">
        <f>SUM(G31:G32)</f>
        <v>431.64</v>
      </c>
    </row>
  </sheetData>
  <mergeCells count="29">
    <mergeCell ref="A7:H7"/>
    <mergeCell ref="A10:D10"/>
    <mergeCell ref="A11:D11"/>
    <mergeCell ref="A12:D12"/>
    <mergeCell ref="A13:H13"/>
    <mergeCell ref="A1:B1"/>
    <mergeCell ref="A2:B2"/>
    <mergeCell ref="A3:B3"/>
    <mergeCell ref="A4:B4"/>
    <mergeCell ref="A5:B5"/>
    <mergeCell ref="A21:H21"/>
    <mergeCell ref="A24:D24"/>
    <mergeCell ref="A22:H22"/>
    <mergeCell ref="A23:D23"/>
    <mergeCell ref="A25:D25"/>
    <mergeCell ref="A30:H30"/>
    <mergeCell ref="A31:D31"/>
    <mergeCell ref="A32:D32"/>
    <mergeCell ref="A26:D26"/>
    <mergeCell ref="A27:D27"/>
    <mergeCell ref="A28:D28"/>
    <mergeCell ref="A29:H29"/>
    <mergeCell ref="A14:H14"/>
    <mergeCell ref="A15:D15"/>
    <mergeCell ref="A16:D16"/>
    <mergeCell ref="A17:D17"/>
    <mergeCell ref="A20:D20"/>
    <mergeCell ref="A18:D18"/>
    <mergeCell ref="A19:D19"/>
  </mergeCells>
  <dataValidations disablePrompts="1" count="1">
    <dataValidation allowBlank="1" showErrorMessage="1" promptTitle="SF Authorized" prompt="Auto-populates" sqref="E8:E9" xr:uid="{F0971C80-4717-4FBA-94F8-E679B95086CB}"/>
  </dataValidations>
  <hyperlinks>
    <hyperlink ref="H6" r:id="rId1" display="WBDG - AFMAN 32-1084" xr:uid="{229A0837-01CC-45C5-9C19-D7A005C00939}"/>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329F72B6-F77F-4EC1-A5D6-1F80CAB603F9}">
          <x14:formula1>
            <xm:f>'Sheet References'!$E$1:$E$116</xm:f>
          </x14:formula1>
          <xm:sqref>D8:D9</xm:sqref>
        </x14:dataValidation>
        <x14:dataValidation type="list" allowBlank="1" showInputMessage="1" showErrorMessage="1" xr:uid="{CE36B9BB-827B-4A74-8F21-2E5A6934A054}">
          <x14:formula1>
            <xm:f>'Sheet References'!$A$57:$A$76</xm:f>
          </x14:formula1>
          <xm:sqref>B8:B9</xm:sqref>
        </x14:dataValidation>
        <x14:dataValidation type="list" allowBlank="1" showInputMessage="1" showErrorMessage="1" xr:uid="{773D8DA3-CB24-4315-8630-50A0C98BFE1C}">
          <x14:formula1>
            <xm:f>'Sheet References'!$H$1:$H$46</xm:f>
          </x14:formula1>
          <xm:sqref>A15:D17</xm:sqref>
        </x14:dataValidation>
        <x14:dataValidation type="list" allowBlank="1" showInputMessage="1" showErrorMessage="1" xr:uid="{16365F8C-6C10-44A1-95AB-FE0E11E64F75}">
          <x14:formula1>
            <xm:f>'Sheet References'!$L$1:$L$874</xm:f>
          </x14:formula1>
          <xm:sqref>E1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CD4A-9EBA-49CE-8579-B0AB53A47008}">
  <sheetPr codeName="Sheet2">
    <tabColor rgb="FF00B050"/>
    <pageSetUpPr fitToPage="1"/>
  </sheetPr>
  <dimension ref="A1:P10"/>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9.8437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730142</v>
      </c>
      <c r="F1" s="260"/>
      <c r="G1" s="260"/>
      <c r="H1" s="260"/>
      <c r="I1"/>
      <c r="J1"/>
      <c r="K1"/>
      <c r="L1"/>
      <c r="M1"/>
      <c r="N1"/>
      <c r="O1"/>
      <c r="P1"/>
    </row>
    <row r="2" spans="1:16" ht="21" customHeight="1" x14ac:dyDescent="0.4">
      <c r="A2" s="405" t="s">
        <v>3627</v>
      </c>
      <c r="B2" s="405"/>
      <c r="C2" s="260"/>
      <c r="D2" s="258" t="s">
        <v>16</v>
      </c>
      <c r="E2" s="259" t="str">
        <f>VLOOKUP(E1,'Sheet References'!L1:M1009,2,FALSE)</f>
        <v>Fire Station</v>
      </c>
      <c r="F2" s="260"/>
      <c r="G2" s="260"/>
      <c r="H2" s="260"/>
    </row>
    <row r="3" spans="1:16" ht="21" customHeight="1" x14ac:dyDescent="0.4">
      <c r="A3" s="405" t="s">
        <v>11</v>
      </c>
      <c r="B3" s="405"/>
      <c r="C3" s="258"/>
      <c r="D3" s="258" t="s">
        <v>17</v>
      </c>
      <c r="E3" s="259" t="str">
        <f>VLOOKUP(CATCode,'Sheet References'!L:O,4,FALSE)</f>
        <v>https://www.wbdg.org/FFC/AF/AFMAN/730142_Fire_Station.pdf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ht="102" x14ac:dyDescent="0.4">
      <c r="A8" s="411" t="s">
        <v>140</v>
      </c>
      <c r="B8" s="413"/>
      <c r="C8" s="413"/>
      <c r="D8" s="413"/>
      <c r="E8" s="254">
        <f>'Fire Station Worksheet'!G189</f>
        <v>43677.22</v>
      </c>
      <c r="F8" s="254">
        <v>1</v>
      </c>
      <c r="G8" s="269">
        <f t="shared" ref="G8" si="0">E8*F8</f>
        <v>43677.22</v>
      </c>
      <c r="H8" s="281" t="s">
        <v>3652</v>
      </c>
      <c r="I8" s="316" t="s">
        <v>3943</v>
      </c>
      <c r="J8" s="315"/>
      <c r="K8" s="315"/>
    </row>
    <row r="9" spans="1:16" x14ac:dyDescent="0.4">
      <c r="A9" s="411"/>
      <c r="B9" s="413"/>
      <c r="C9" s="413"/>
      <c r="D9" s="413"/>
      <c r="E9" s="267"/>
      <c r="F9" s="254"/>
      <c r="G9" s="269"/>
      <c r="H9" s="270"/>
    </row>
    <row r="10" spans="1:16" x14ac:dyDescent="0.4">
      <c r="E10" s="272" t="s">
        <v>98</v>
      </c>
      <c r="F10" s="257"/>
      <c r="G10" s="276">
        <f>SUM(G8:G9)</f>
        <v>43677.22</v>
      </c>
    </row>
  </sheetData>
  <mergeCells count="8">
    <mergeCell ref="A8:D8"/>
    <mergeCell ref="A9:D9"/>
    <mergeCell ref="A7:H7"/>
    <mergeCell ref="A1:B1"/>
    <mergeCell ref="A2:B2"/>
    <mergeCell ref="A3:B3"/>
    <mergeCell ref="A4:B4"/>
    <mergeCell ref="A5:B5"/>
  </mergeCells>
  <hyperlinks>
    <hyperlink ref="H6" r:id="rId1" display="WBDG - AFMAN 32-1084" xr:uid="{4C299008-A355-4E5B-9AE1-B0A3EECBC57F}"/>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B98BD40-39CD-4226-90B2-D5BB0ADBB892}">
          <x14:formula1>
            <xm:f>'Sheet References'!$L$1:$L$874</xm:f>
          </x14:formula1>
          <xm:sqref>E1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C9F7B-F88C-4B91-A4CD-4809A7AA14F7}">
  <sheetPr>
    <tabColor rgb="FF00B050"/>
    <pageSetUpPr fitToPage="1"/>
  </sheetPr>
  <dimension ref="A1:P10"/>
  <sheetViews>
    <sheetView zoomScale="80" zoomScaleNormal="80" workbookViewId="0">
      <selection activeCell="E3" sqref="E3"/>
    </sheetView>
  </sheetViews>
  <sheetFormatPr defaultColWidth="9.3046875" defaultRowHeight="14.6" x14ac:dyDescent="0.4"/>
  <cols>
    <col min="1" max="2" width="30.69140625" style="1" customWidth="1"/>
    <col min="3" max="3" width="23.69140625" style="1" customWidth="1"/>
    <col min="4" max="4" width="29.8437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141101</v>
      </c>
      <c r="F1" s="260"/>
      <c r="G1" s="260"/>
      <c r="H1" s="260"/>
      <c r="I1"/>
      <c r="J1"/>
      <c r="K1"/>
      <c r="L1"/>
      <c r="M1"/>
      <c r="N1"/>
      <c r="O1"/>
      <c r="P1"/>
    </row>
    <row r="2" spans="1:16" ht="21" customHeight="1" x14ac:dyDescent="0.4">
      <c r="A2" s="405" t="s">
        <v>3627</v>
      </c>
      <c r="B2" s="405"/>
      <c r="C2" s="260"/>
      <c r="D2" s="258" t="s">
        <v>16</v>
      </c>
      <c r="E2" s="259" t="str">
        <f>VLOOKUP(E1,'Sheet References'!L1:M1009,2,FALSE)</f>
        <v>Airfield Fire and Rescue Station</v>
      </c>
      <c r="F2" s="260"/>
      <c r="G2" s="260"/>
      <c r="H2" s="260"/>
    </row>
    <row r="3" spans="1:16" ht="21" customHeight="1" x14ac:dyDescent="0.4">
      <c r="A3" s="405" t="s">
        <v>11</v>
      </c>
      <c r="B3" s="405"/>
      <c r="C3" s="258"/>
      <c r="D3" s="258" t="s">
        <v>17</v>
      </c>
      <c r="E3" s="259" t="str">
        <f>VLOOKUP(CATCode,'Sheet References'!L:O,4,FALSE)</f>
        <v>‌https://www.wbdg.org/FFC/AF/AFMAN/141101_Airfield_Fire_Rescue_Station.pdf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ht="102" x14ac:dyDescent="0.4">
      <c r="A8" s="411" t="s">
        <v>140</v>
      </c>
      <c r="B8" s="413"/>
      <c r="C8" s="413"/>
      <c r="D8" s="413"/>
      <c r="E8" s="254">
        <f>'Fire Station Worksheet'!G189</f>
        <v>43677.22</v>
      </c>
      <c r="F8" s="254">
        <v>1</v>
      </c>
      <c r="G8" s="269">
        <f t="shared" ref="G8" si="0">E8*F8</f>
        <v>43677.22</v>
      </c>
      <c r="H8" s="281" t="s">
        <v>3652</v>
      </c>
      <c r="I8" s="316" t="s">
        <v>3943</v>
      </c>
      <c r="J8" s="315"/>
      <c r="K8" s="315"/>
    </row>
    <row r="9" spans="1:16" x14ac:dyDescent="0.4">
      <c r="A9" s="411"/>
      <c r="B9" s="413"/>
      <c r="C9" s="413"/>
      <c r="D9" s="413"/>
      <c r="E9" s="267"/>
      <c r="F9" s="254"/>
      <c r="G9" s="269"/>
      <c r="H9" s="270"/>
    </row>
    <row r="10" spans="1:16" x14ac:dyDescent="0.4">
      <c r="E10" s="272" t="s">
        <v>98</v>
      </c>
      <c r="F10" s="257"/>
      <c r="G10" s="276">
        <f>SUM(G8:G9)</f>
        <v>43677.22</v>
      </c>
    </row>
  </sheetData>
  <mergeCells count="8">
    <mergeCell ref="A8:D8"/>
    <mergeCell ref="A9:D9"/>
    <mergeCell ref="A1:B1"/>
    <mergeCell ref="A2:B2"/>
    <mergeCell ref="A3:B3"/>
    <mergeCell ref="A4:B4"/>
    <mergeCell ref="A5:B5"/>
    <mergeCell ref="A7:H7"/>
  </mergeCells>
  <hyperlinks>
    <hyperlink ref="H6" r:id="rId1" display="WBDG - AFMAN 32-1084" xr:uid="{5C990B8F-94A4-44C5-9CE3-0C5C9544195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C77EA78-5825-47E9-9FCA-3101D7ECD95B}">
          <x14:formula1>
            <xm:f>'Sheet References'!$L$1:$L$874</xm:f>
          </x14:formula1>
          <xm:sqref>E1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4" tint="0.79998168889431442"/>
    <pageSetUpPr fitToPage="1"/>
  </sheetPr>
  <dimension ref="A1:S71"/>
  <sheetViews>
    <sheetView zoomScaleNormal="100" workbookViewId="0">
      <pane ySplit="6" topLeftCell="A7" activePane="bottomLeft" state="frozen"/>
      <selection activeCell="L12" sqref="L12"/>
      <selection pane="bottomLeft" activeCell="A5" sqref="A5:B5"/>
    </sheetView>
  </sheetViews>
  <sheetFormatPr defaultColWidth="9.3046875" defaultRowHeight="14.6" x14ac:dyDescent="0.4"/>
  <cols>
    <col min="1" max="1" width="30.69140625" style="3" customWidth="1"/>
    <col min="2" max="2" width="9.69140625" style="3" customWidth="1"/>
    <col min="3" max="3" width="30.69140625" style="3" customWidth="1"/>
    <col min="4" max="4" width="12.69140625" style="3" customWidth="1"/>
    <col min="5" max="5" width="9.69140625" style="3" customWidth="1"/>
    <col min="6" max="6" width="30.69140625" style="3" customWidth="1"/>
    <col min="7" max="7" width="9.69140625" style="3" customWidth="1"/>
    <col min="8" max="9" width="11.69140625" style="3" customWidth="1"/>
    <col min="10" max="10" width="30.69140625" style="3" customWidth="1"/>
    <col min="11" max="12" width="9.3046875" style="3"/>
    <col min="13" max="13" width="43.69140625" style="3" customWidth="1"/>
    <col min="14" max="16384" width="9.3046875" style="3"/>
  </cols>
  <sheetData>
    <row r="1" spans="1:19" x14ac:dyDescent="0.4">
      <c r="A1" s="441" t="s">
        <v>14</v>
      </c>
      <c r="B1" s="441"/>
      <c r="C1" s="437" t="s">
        <v>141</v>
      </c>
      <c r="D1" s="437"/>
      <c r="E1" s="437"/>
      <c r="F1" s="437"/>
      <c r="G1" s="437"/>
      <c r="H1" s="437"/>
      <c r="I1" s="437"/>
      <c r="J1" s="437"/>
    </row>
    <row r="2" spans="1:19" x14ac:dyDescent="0.4">
      <c r="A2" s="442" t="s">
        <v>3627</v>
      </c>
      <c r="B2" s="442"/>
      <c r="C2" s="438"/>
      <c r="D2" s="438"/>
      <c r="E2" s="438"/>
      <c r="F2" s="438"/>
      <c r="G2" s="438"/>
      <c r="H2" s="438"/>
      <c r="I2" s="438"/>
      <c r="J2" s="438"/>
    </row>
    <row r="3" spans="1:19" x14ac:dyDescent="0.4">
      <c r="A3" s="442" t="s">
        <v>11</v>
      </c>
      <c r="B3" s="442"/>
      <c r="C3" s="438"/>
      <c r="D3" s="438"/>
      <c r="E3" s="438"/>
      <c r="F3" s="438"/>
      <c r="G3" s="438"/>
      <c r="H3" s="438"/>
      <c r="I3" s="438"/>
      <c r="J3" s="438"/>
    </row>
    <row r="4" spans="1:19" x14ac:dyDescent="0.4">
      <c r="A4" s="442" t="s">
        <v>12</v>
      </c>
      <c r="B4" s="442"/>
      <c r="C4" s="438"/>
      <c r="D4" s="438"/>
      <c r="E4" s="438"/>
      <c r="F4" s="438"/>
      <c r="G4" s="438"/>
      <c r="H4" s="438"/>
      <c r="I4" s="438"/>
      <c r="J4" s="438"/>
    </row>
    <row r="5" spans="1:19" s="2" customFormat="1" x14ac:dyDescent="0.4">
      <c r="A5" s="440" t="str">
        <f>'Customer Summary'!B33</f>
        <v>POC: [CE unit designation (i.e. 99 CES)]</v>
      </c>
      <c r="B5" s="440"/>
      <c r="C5" s="439"/>
      <c r="D5" s="439"/>
      <c r="E5" s="439"/>
      <c r="F5" s="439"/>
      <c r="G5" s="439"/>
      <c r="H5" s="439"/>
      <c r="I5" s="439"/>
      <c r="J5" s="439"/>
    </row>
    <row r="6" spans="1:19" x14ac:dyDescent="0.4">
      <c r="A6" s="282" t="s">
        <v>142</v>
      </c>
      <c r="B6" s="283" t="s">
        <v>143</v>
      </c>
      <c r="C6" s="283" t="s">
        <v>144</v>
      </c>
      <c r="D6" s="283" t="s">
        <v>145</v>
      </c>
      <c r="E6" s="283" t="s">
        <v>146</v>
      </c>
      <c r="F6" s="283" t="s">
        <v>147</v>
      </c>
      <c r="G6" s="283" t="s">
        <v>148</v>
      </c>
      <c r="H6" s="283" t="s">
        <v>149</v>
      </c>
      <c r="I6" s="283" t="s">
        <v>150</v>
      </c>
      <c r="J6" s="283" t="s">
        <v>151</v>
      </c>
    </row>
    <row r="7" spans="1:19" x14ac:dyDescent="0.4">
      <c r="A7" s="284"/>
      <c r="B7" s="284"/>
      <c r="C7" s="284"/>
      <c r="D7" s="284"/>
      <c r="E7" s="284"/>
      <c r="F7" s="284"/>
      <c r="G7" s="284"/>
      <c r="H7" s="284"/>
      <c r="I7" s="284"/>
      <c r="J7" s="266"/>
      <c r="N7" s="26"/>
      <c r="O7" s="26"/>
      <c r="P7" s="26"/>
      <c r="Q7" s="26"/>
      <c r="R7" s="26"/>
      <c r="S7" s="26"/>
    </row>
    <row r="8" spans="1:19" x14ac:dyDescent="0.4">
      <c r="A8" s="284"/>
      <c r="B8" s="284"/>
      <c r="C8" s="284"/>
      <c r="D8" s="284"/>
      <c r="E8" s="284"/>
      <c r="F8" s="284"/>
      <c r="G8" s="284"/>
      <c r="H8" s="284"/>
      <c r="I8" s="284"/>
      <c r="J8" s="266"/>
      <c r="N8" s="26"/>
      <c r="O8" s="26"/>
      <c r="P8" s="26"/>
      <c r="Q8" s="26"/>
      <c r="R8" s="26"/>
      <c r="S8" s="26"/>
    </row>
    <row r="9" spans="1:19" x14ac:dyDescent="0.4">
      <c r="A9" s="284"/>
      <c r="B9" s="284"/>
      <c r="C9" s="284"/>
      <c r="D9" s="284"/>
      <c r="E9" s="284"/>
      <c r="F9" s="284"/>
      <c r="G9" s="284"/>
      <c r="H9" s="284"/>
      <c r="I9" s="284"/>
      <c r="J9" s="266"/>
      <c r="N9" s="26"/>
      <c r="O9" s="26"/>
      <c r="P9" s="26"/>
      <c r="Q9" s="26"/>
      <c r="R9" s="26"/>
      <c r="S9" s="26"/>
    </row>
    <row r="10" spans="1:19" x14ac:dyDescent="0.4">
      <c r="A10" s="284"/>
      <c r="B10" s="284"/>
      <c r="C10" s="284"/>
      <c r="D10" s="284"/>
      <c r="E10" s="284"/>
      <c r="F10" s="284"/>
      <c r="G10" s="284"/>
      <c r="H10" s="284"/>
      <c r="I10" s="284"/>
      <c r="J10" s="266"/>
      <c r="N10" s="26"/>
      <c r="O10" s="26"/>
      <c r="P10" s="26"/>
      <c r="Q10" s="26"/>
      <c r="R10" s="26"/>
      <c r="S10" s="26"/>
    </row>
    <row r="11" spans="1:19" x14ac:dyDescent="0.4">
      <c r="A11" s="284"/>
      <c r="B11" s="284"/>
      <c r="C11" s="284"/>
      <c r="D11" s="284"/>
      <c r="E11" s="284"/>
      <c r="F11" s="284"/>
      <c r="G11" s="284"/>
      <c r="H11" s="284"/>
      <c r="I11" s="284"/>
      <c r="J11" s="266"/>
      <c r="N11" s="26"/>
      <c r="O11" s="26"/>
      <c r="P11" s="26"/>
      <c r="Q11" s="26"/>
      <c r="R11" s="26"/>
      <c r="S11" s="26"/>
    </row>
    <row r="12" spans="1:19" x14ac:dyDescent="0.4">
      <c r="A12" s="284"/>
      <c r="B12" s="284"/>
      <c r="C12" s="284"/>
      <c r="D12" s="284"/>
      <c r="E12" s="284"/>
      <c r="F12" s="284"/>
      <c r="G12" s="284"/>
      <c r="H12" s="284"/>
      <c r="I12" s="284"/>
      <c r="J12" s="266"/>
    </row>
    <row r="13" spans="1:19" x14ac:dyDescent="0.4">
      <c r="A13" s="284"/>
      <c r="B13" s="284"/>
      <c r="C13" s="284"/>
      <c r="D13" s="284"/>
      <c r="E13" s="284"/>
      <c r="F13" s="284"/>
      <c r="G13" s="284"/>
      <c r="H13" s="284"/>
      <c r="I13" s="284"/>
      <c r="J13" s="266"/>
    </row>
    <row r="14" spans="1:19" x14ac:dyDescent="0.4">
      <c r="A14" s="284"/>
      <c r="B14" s="284"/>
      <c r="C14" s="284"/>
      <c r="D14" s="284"/>
      <c r="E14" s="284"/>
      <c r="F14" s="284"/>
      <c r="G14" s="284"/>
      <c r="H14" s="284"/>
      <c r="I14" s="284"/>
      <c r="J14" s="266"/>
    </row>
    <row r="15" spans="1:19" x14ac:dyDescent="0.4">
      <c r="A15" s="284"/>
      <c r="B15" s="284"/>
      <c r="C15" s="284"/>
      <c r="D15" s="284"/>
      <c r="E15" s="284"/>
      <c r="F15" s="284"/>
      <c r="G15" s="284"/>
      <c r="H15" s="284"/>
      <c r="I15" s="284"/>
      <c r="J15" s="266"/>
    </row>
    <row r="16" spans="1:19" x14ac:dyDescent="0.4">
      <c r="A16" s="284"/>
      <c r="B16" s="284"/>
      <c r="C16" s="284"/>
      <c r="D16" s="284"/>
      <c r="E16" s="284"/>
      <c r="F16" s="284"/>
      <c r="G16" s="284"/>
      <c r="H16" s="284"/>
      <c r="I16" s="284"/>
      <c r="J16" s="266"/>
    </row>
    <row r="17" spans="1:10" x14ac:dyDescent="0.4">
      <c r="A17" s="284"/>
      <c r="B17" s="284"/>
      <c r="C17" s="284"/>
      <c r="D17" s="284"/>
      <c r="E17" s="284"/>
      <c r="F17" s="284"/>
      <c r="G17" s="284"/>
      <c r="H17" s="284"/>
      <c r="I17" s="284"/>
      <c r="J17" s="266"/>
    </row>
    <row r="18" spans="1:10" x14ac:dyDescent="0.4">
      <c r="A18" s="284"/>
      <c r="B18" s="284"/>
      <c r="C18" s="284"/>
      <c r="D18" s="284"/>
      <c r="E18" s="284"/>
      <c r="F18" s="284"/>
      <c r="G18" s="284"/>
      <c r="H18" s="284"/>
      <c r="I18" s="284"/>
      <c r="J18" s="266"/>
    </row>
    <row r="19" spans="1:10" x14ac:dyDescent="0.4">
      <c r="A19" s="284"/>
      <c r="B19" s="284"/>
      <c r="C19" s="284"/>
      <c r="D19" s="284"/>
      <c r="E19" s="284"/>
      <c r="F19" s="284"/>
      <c r="G19" s="284"/>
      <c r="H19" s="284"/>
      <c r="I19" s="284"/>
      <c r="J19" s="266"/>
    </row>
    <row r="20" spans="1:10" x14ac:dyDescent="0.4">
      <c r="A20" s="284"/>
      <c r="B20" s="284"/>
      <c r="C20" s="284"/>
      <c r="D20" s="284"/>
      <c r="E20" s="284"/>
      <c r="F20" s="284"/>
      <c r="G20" s="284"/>
      <c r="H20" s="284"/>
      <c r="I20" s="284"/>
      <c r="J20" s="266"/>
    </row>
    <row r="21" spans="1:10" x14ac:dyDescent="0.4">
      <c r="A21" s="284"/>
      <c r="B21" s="284"/>
      <c r="C21" s="284"/>
      <c r="D21" s="284"/>
      <c r="E21" s="284"/>
      <c r="F21" s="284"/>
      <c r="G21" s="284"/>
      <c r="H21" s="284"/>
      <c r="I21" s="284"/>
      <c r="J21" s="266"/>
    </row>
    <row r="22" spans="1:10" x14ac:dyDescent="0.4">
      <c r="A22" s="284"/>
      <c r="B22" s="284"/>
      <c r="C22" s="284"/>
      <c r="D22" s="284"/>
      <c r="E22" s="284"/>
      <c r="F22" s="284"/>
      <c r="G22" s="284"/>
      <c r="H22" s="284"/>
      <c r="I22" s="284"/>
      <c r="J22" s="266"/>
    </row>
    <row r="23" spans="1:10" x14ac:dyDescent="0.4">
      <c r="A23" s="284"/>
      <c r="B23" s="284"/>
      <c r="C23" s="284"/>
      <c r="D23" s="284"/>
      <c r="E23" s="284"/>
      <c r="F23" s="284"/>
      <c r="G23" s="284"/>
      <c r="H23" s="284"/>
      <c r="I23" s="284"/>
      <c r="J23" s="266"/>
    </row>
    <row r="24" spans="1:10" x14ac:dyDescent="0.4">
      <c r="A24" s="284"/>
      <c r="B24" s="284"/>
      <c r="C24" s="284"/>
      <c r="D24" s="284"/>
      <c r="E24" s="284"/>
      <c r="F24" s="284"/>
      <c r="G24" s="284"/>
      <c r="H24" s="284"/>
      <c r="I24" s="284"/>
      <c r="J24" s="266"/>
    </row>
    <row r="25" spans="1:10" x14ac:dyDescent="0.4">
      <c r="A25" s="284"/>
      <c r="B25" s="284"/>
      <c r="C25" s="284"/>
      <c r="D25" s="284"/>
      <c r="E25" s="284"/>
      <c r="F25" s="284"/>
      <c r="G25" s="284"/>
      <c r="H25" s="284"/>
      <c r="I25" s="284"/>
      <c r="J25" s="266"/>
    </row>
    <row r="26" spans="1:10" x14ac:dyDescent="0.4">
      <c r="A26" s="284"/>
      <c r="B26" s="284"/>
      <c r="C26" s="284"/>
      <c r="D26" s="284"/>
      <c r="E26" s="284"/>
      <c r="F26" s="284"/>
      <c r="G26" s="284"/>
      <c r="H26" s="284"/>
      <c r="I26" s="284"/>
      <c r="J26" s="266"/>
    </row>
    <row r="27" spans="1:10" x14ac:dyDescent="0.4">
      <c r="A27" s="284"/>
      <c r="B27" s="284"/>
      <c r="C27" s="284"/>
      <c r="D27" s="284"/>
      <c r="E27" s="284"/>
      <c r="F27" s="284"/>
      <c r="G27" s="284"/>
      <c r="H27" s="284"/>
      <c r="I27" s="284"/>
      <c r="J27" s="266"/>
    </row>
    <row r="28" spans="1:10" x14ac:dyDescent="0.4">
      <c r="A28" s="284"/>
      <c r="B28" s="284"/>
      <c r="C28" s="284"/>
      <c r="D28" s="284"/>
      <c r="E28" s="284"/>
      <c r="F28" s="284"/>
      <c r="G28" s="284"/>
      <c r="H28" s="284"/>
      <c r="I28" s="284"/>
      <c r="J28" s="266"/>
    </row>
    <row r="29" spans="1:10" x14ac:dyDescent="0.4">
      <c r="A29" s="284"/>
      <c r="B29" s="284"/>
      <c r="C29" s="284"/>
      <c r="D29" s="284"/>
      <c r="E29" s="284"/>
      <c r="F29" s="284"/>
      <c r="G29" s="284"/>
      <c r="H29" s="284"/>
      <c r="I29" s="284"/>
      <c r="J29" s="266"/>
    </row>
    <row r="30" spans="1:10" x14ac:dyDescent="0.4">
      <c r="A30" s="284"/>
      <c r="B30" s="284"/>
      <c r="C30" s="284"/>
      <c r="D30" s="284"/>
      <c r="E30" s="284"/>
      <c r="F30" s="284"/>
      <c r="G30" s="284"/>
      <c r="H30" s="284"/>
      <c r="I30" s="284"/>
      <c r="J30" s="266"/>
    </row>
    <row r="31" spans="1:10" x14ac:dyDescent="0.4">
      <c r="A31" s="284"/>
      <c r="B31" s="284"/>
      <c r="C31" s="284"/>
      <c r="D31" s="284"/>
      <c r="E31" s="284"/>
      <c r="F31" s="284"/>
      <c r="G31" s="284"/>
      <c r="H31" s="284"/>
      <c r="I31" s="284"/>
      <c r="J31" s="266"/>
    </row>
    <row r="32" spans="1:10" x14ac:dyDescent="0.4">
      <c r="A32" s="284"/>
      <c r="B32" s="284"/>
      <c r="C32" s="284"/>
      <c r="D32" s="284"/>
      <c r="E32" s="284"/>
      <c r="F32" s="284"/>
      <c r="G32" s="284"/>
      <c r="H32" s="284"/>
      <c r="I32" s="284"/>
      <c r="J32" s="266"/>
    </row>
    <row r="33" spans="1:10" x14ac:dyDescent="0.4">
      <c r="A33" s="284"/>
      <c r="B33" s="284"/>
      <c r="C33" s="284"/>
      <c r="D33" s="284"/>
      <c r="E33" s="284"/>
      <c r="F33" s="284"/>
      <c r="G33" s="284"/>
      <c r="H33" s="284"/>
      <c r="I33" s="284"/>
      <c r="J33" s="266"/>
    </row>
    <row r="34" spans="1:10" x14ac:dyDescent="0.4">
      <c r="A34" s="284"/>
      <c r="B34" s="284"/>
      <c r="C34" s="284"/>
      <c r="D34" s="284"/>
      <c r="E34" s="284"/>
      <c r="F34" s="284"/>
      <c r="G34" s="284"/>
      <c r="H34" s="284"/>
      <c r="I34" s="284"/>
      <c r="J34" s="266"/>
    </row>
    <row r="35" spans="1:10" x14ac:dyDescent="0.4">
      <c r="A35" s="284"/>
      <c r="B35" s="284"/>
      <c r="C35" s="284"/>
      <c r="D35" s="284"/>
      <c r="E35" s="284"/>
      <c r="F35" s="284"/>
      <c r="G35" s="284"/>
      <c r="H35" s="284"/>
      <c r="I35" s="284"/>
      <c r="J35" s="266"/>
    </row>
    <row r="36" spans="1:10" x14ac:dyDescent="0.4">
      <c r="A36" s="284"/>
      <c r="B36" s="284"/>
      <c r="C36" s="284"/>
      <c r="D36" s="284"/>
      <c r="E36" s="284"/>
      <c r="F36" s="284"/>
      <c r="G36" s="284"/>
      <c r="H36" s="284"/>
      <c r="I36" s="284"/>
      <c r="J36" s="266"/>
    </row>
    <row r="37" spans="1:10" x14ac:dyDescent="0.4">
      <c r="A37" s="284"/>
      <c r="B37" s="284"/>
      <c r="C37" s="284"/>
      <c r="D37" s="284"/>
      <c r="E37" s="284"/>
      <c r="F37" s="284"/>
      <c r="G37" s="284"/>
      <c r="H37" s="284"/>
      <c r="I37" s="284"/>
      <c r="J37" s="266"/>
    </row>
    <row r="38" spans="1:10" x14ac:dyDescent="0.4">
      <c r="A38" s="284"/>
      <c r="B38" s="284"/>
      <c r="C38" s="284"/>
      <c r="D38" s="284"/>
      <c r="E38" s="284"/>
      <c r="F38" s="284"/>
      <c r="G38" s="284"/>
      <c r="H38" s="284"/>
      <c r="I38" s="284"/>
      <c r="J38" s="266"/>
    </row>
    <row r="39" spans="1:10" x14ac:dyDescent="0.4">
      <c r="A39" s="284"/>
      <c r="B39" s="284"/>
      <c r="C39" s="284"/>
      <c r="D39" s="284"/>
      <c r="E39" s="284"/>
      <c r="F39" s="284"/>
      <c r="G39" s="284"/>
      <c r="H39" s="284"/>
      <c r="I39" s="284"/>
      <c r="J39" s="266"/>
    </row>
    <row r="40" spans="1:10" x14ac:dyDescent="0.4">
      <c r="A40" s="284"/>
      <c r="B40" s="284"/>
      <c r="C40" s="284"/>
      <c r="D40" s="284"/>
      <c r="E40" s="284"/>
      <c r="F40" s="284"/>
      <c r="G40" s="284"/>
      <c r="H40" s="284"/>
      <c r="I40" s="284"/>
      <c r="J40" s="266"/>
    </row>
    <row r="41" spans="1:10" x14ac:dyDescent="0.4">
      <c r="A41" s="284"/>
      <c r="B41" s="284"/>
      <c r="C41" s="284"/>
      <c r="D41" s="284"/>
      <c r="E41" s="284"/>
      <c r="F41" s="284"/>
      <c r="G41" s="284"/>
      <c r="H41" s="284"/>
      <c r="I41" s="284"/>
      <c r="J41" s="266"/>
    </row>
    <row r="42" spans="1:10" x14ac:dyDescent="0.4">
      <c r="A42" s="284"/>
      <c r="B42" s="284"/>
      <c r="C42" s="284"/>
      <c r="D42" s="284"/>
      <c r="E42" s="284"/>
      <c r="F42" s="284"/>
      <c r="G42" s="284"/>
      <c r="H42" s="284"/>
      <c r="I42" s="284"/>
      <c r="J42" s="266"/>
    </row>
    <row r="43" spans="1:10" x14ac:dyDescent="0.4">
      <c r="A43" s="284"/>
      <c r="B43" s="284"/>
      <c r="C43" s="284"/>
      <c r="D43" s="284"/>
      <c r="E43" s="284"/>
      <c r="F43" s="284"/>
      <c r="G43" s="284"/>
      <c r="H43" s="284"/>
      <c r="I43" s="284"/>
      <c r="J43" s="266"/>
    </row>
    <row r="44" spans="1:10" x14ac:dyDescent="0.4">
      <c r="A44" s="284"/>
      <c r="B44" s="284"/>
      <c r="C44" s="284"/>
      <c r="D44" s="284"/>
      <c r="E44" s="284"/>
      <c r="F44" s="284"/>
      <c r="G44" s="284"/>
      <c r="H44" s="284"/>
      <c r="I44" s="284"/>
      <c r="J44" s="266"/>
    </row>
    <row r="45" spans="1:10" x14ac:dyDescent="0.4">
      <c r="A45" s="284"/>
      <c r="B45" s="284"/>
      <c r="C45" s="284"/>
      <c r="D45" s="284"/>
      <c r="E45" s="284"/>
      <c r="F45" s="284"/>
      <c r="G45" s="284"/>
      <c r="H45" s="284"/>
      <c r="I45" s="284"/>
      <c r="J45" s="266"/>
    </row>
    <row r="46" spans="1:10" x14ac:dyDescent="0.4">
      <c r="A46" s="284"/>
      <c r="B46" s="284"/>
      <c r="C46" s="284"/>
      <c r="D46" s="284"/>
      <c r="E46" s="284"/>
      <c r="F46" s="284"/>
      <c r="G46" s="284"/>
      <c r="H46" s="284"/>
      <c r="I46" s="284"/>
      <c r="J46" s="266"/>
    </row>
    <row r="47" spans="1:10" x14ac:dyDescent="0.4">
      <c r="A47" s="284"/>
      <c r="B47" s="284"/>
      <c r="C47" s="284"/>
      <c r="D47" s="284"/>
      <c r="E47" s="284"/>
      <c r="F47" s="284"/>
      <c r="G47" s="284"/>
      <c r="H47" s="284"/>
      <c r="I47" s="284"/>
      <c r="J47" s="266"/>
    </row>
    <row r="48" spans="1:10" x14ac:dyDescent="0.4">
      <c r="A48" s="284"/>
      <c r="B48" s="284"/>
      <c r="C48" s="284"/>
      <c r="D48" s="284"/>
      <c r="E48" s="284"/>
      <c r="F48" s="284"/>
      <c r="G48" s="284"/>
      <c r="H48" s="284"/>
      <c r="I48" s="284"/>
      <c r="J48" s="266"/>
    </row>
    <row r="49" spans="1:10" x14ac:dyDescent="0.4">
      <c r="A49" s="284"/>
      <c r="B49" s="284"/>
      <c r="C49" s="284"/>
      <c r="D49" s="284"/>
      <c r="E49" s="284"/>
      <c r="F49" s="284"/>
      <c r="G49" s="284"/>
      <c r="H49" s="284"/>
      <c r="I49" s="284"/>
      <c r="J49" s="266"/>
    </row>
    <row r="50" spans="1:10" x14ac:dyDescent="0.4">
      <c r="A50" s="284"/>
      <c r="B50" s="284"/>
      <c r="C50" s="284"/>
      <c r="D50" s="284"/>
      <c r="E50" s="284"/>
      <c r="F50" s="284"/>
      <c r="G50" s="284"/>
      <c r="H50" s="284"/>
      <c r="I50" s="284"/>
      <c r="J50" s="266"/>
    </row>
    <row r="51" spans="1:10" x14ac:dyDescent="0.4">
      <c r="A51" s="284"/>
      <c r="B51" s="284"/>
      <c r="C51" s="284"/>
      <c r="D51" s="284"/>
      <c r="E51" s="284"/>
      <c r="F51" s="284"/>
      <c r="G51" s="284"/>
      <c r="H51" s="284"/>
      <c r="I51" s="284"/>
      <c r="J51" s="266"/>
    </row>
    <row r="52" spans="1:10" x14ac:dyDescent="0.4">
      <c r="A52" s="284"/>
      <c r="B52" s="284"/>
      <c r="C52" s="284"/>
      <c r="D52" s="284"/>
      <c r="E52" s="284"/>
      <c r="F52" s="284"/>
      <c r="G52" s="284"/>
      <c r="H52" s="284"/>
      <c r="I52" s="284"/>
      <c r="J52" s="266"/>
    </row>
    <row r="53" spans="1:10" x14ac:dyDescent="0.4">
      <c r="A53" s="284"/>
      <c r="B53" s="284"/>
      <c r="C53" s="284"/>
      <c r="D53" s="284"/>
      <c r="E53" s="284"/>
      <c r="F53" s="284"/>
      <c r="G53" s="284"/>
      <c r="H53" s="284"/>
      <c r="I53" s="284"/>
      <c r="J53" s="266"/>
    </row>
    <row r="54" spans="1:10" x14ac:dyDescent="0.4">
      <c r="A54" s="284"/>
      <c r="B54" s="284"/>
      <c r="C54" s="284"/>
      <c r="D54" s="284"/>
      <c r="E54" s="284"/>
      <c r="F54" s="284"/>
      <c r="G54" s="284"/>
      <c r="H54" s="284"/>
      <c r="I54" s="284"/>
      <c r="J54" s="266"/>
    </row>
    <row r="55" spans="1:10" x14ac:dyDescent="0.4">
      <c r="A55" s="284"/>
      <c r="B55" s="284"/>
      <c r="C55" s="284"/>
      <c r="D55" s="284"/>
      <c r="E55" s="284"/>
      <c r="F55" s="284"/>
      <c r="G55" s="284"/>
      <c r="H55" s="284"/>
      <c r="I55" s="284"/>
      <c r="J55" s="266"/>
    </row>
    <row r="56" spans="1:10" x14ac:dyDescent="0.4">
      <c r="A56" s="284"/>
      <c r="B56" s="284"/>
      <c r="C56" s="284"/>
      <c r="D56" s="284"/>
      <c r="E56" s="284"/>
      <c r="F56" s="284"/>
      <c r="G56" s="284"/>
      <c r="H56" s="284"/>
      <c r="I56" s="284"/>
      <c r="J56" s="266"/>
    </row>
    <row r="57" spans="1:10" x14ac:dyDescent="0.4">
      <c r="A57" s="284"/>
      <c r="B57" s="284"/>
      <c r="C57" s="284"/>
      <c r="D57" s="284"/>
      <c r="E57" s="284"/>
      <c r="F57" s="284"/>
      <c r="G57" s="284"/>
      <c r="H57" s="284"/>
      <c r="I57" s="284"/>
      <c r="J57" s="266"/>
    </row>
    <row r="58" spans="1:10" x14ac:dyDescent="0.4">
      <c r="A58" s="284"/>
      <c r="B58" s="284"/>
      <c r="C58" s="284"/>
      <c r="D58" s="284"/>
      <c r="E58" s="284"/>
      <c r="F58" s="284"/>
      <c r="G58" s="284"/>
      <c r="H58" s="284"/>
      <c r="I58" s="284"/>
      <c r="J58" s="266"/>
    </row>
    <row r="59" spans="1:10" x14ac:dyDescent="0.4">
      <c r="A59" s="284"/>
      <c r="B59" s="284"/>
      <c r="C59" s="284"/>
      <c r="D59" s="284"/>
      <c r="E59" s="284"/>
      <c r="F59" s="284"/>
      <c r="G59" s="284"/>
      <c r="H59" s="284"/>
      <c r="I59" s="284"/>
      <c r="J59" s="266"/>
    </row>
    <row r="60" spans="1:10" x14ac:dyDescent="0.4">
      <c r="A60" s="284"/>
      <c r="B60" s="284"/>
      <c r="C60" s="284"/>
      <c r="D60" s="284"/>
      <c r="E60" s="284"/>
      <c r="F60" s="284"/>
      <c r="G60" s="284"/>
      <c r="H60" s="284"/>
      <c r="I60" s="284"/>
      <c r="J60" s="266"/>
    </row>
    <row r="61" spans="1:10" x14ac:dyDescent="0.4">
      <c r="A61" s="284"/>
      <c r="B61" s="284"/>
      <c r="C61" s="284"/>
      <c r="D61" s="284"/>
      <c r="E61" s="284"/>
      <c r="F61" s="284"/>
      <c r="G61" s="284"/>
      <c r="H61" s="284"/>
      <c r="I61" s="284"/>
      <c r="J61" s="266"/>
    </row>
    <row r="62" spans="1:10" x14ac:dyDescent="0.4">
      <c r="A62" s="284"/>
      <c r="B62" s="284"/>
      <c r="C62" s="284"/>
      <c r="D62" s="284"/>
      <c r="E62" s="284"/>
      <c r="F62" s="284"/>
      <c r="G62" s="284"/>
      <c r="H62" s="284"/>
      <c r="I62" s="284"/>
      <c r="J62" s="266"/>
    </row>
    <row r="63" spans="1:10" x14ac:dyDescent="0.4">
      <c r="A63" s="284"/>
      <c r="B63" s="284"/>
      <c r="C63" s="284"/>
      <c r="D63" s="284"/>
      <c r="E63" s="284"/>
      <c r="F63" s="284"/>
      <c r="G63" s="284"/>
      <c r="H63" s="284"/>
      <c r="I63" s="284"/>
      <c r="J63" s="266"/>
    </row>
    <row r="64" spans="1:10" x14ac:dyDescent="0.4">
      <c r="A64" s="284"/>
      <c r="B64" s="284"/>
      <c r="C64" s="284"/>
      <c r="D64" s="284"/>
      <c r="E64" s="284"/>
      <c r="F64" s="284"/>
      <c r="G64" s="284"/>
      <c r="H64" s="284"/>
      <c r="I64" s="284"/>
      <c r="J64" s="266"/>
    </row>
    <row r="65" spans="1:10" x14ac:dyDescent="0.4">
      <c r="A65" s="284"/>
      <c r="B65" s="284"/>
      <c r="C65" s="284"/>
      <c r="D65" s="284"/>
      <c r="E65" s="284"/>
      <c r="F65" s="284"/>
      <c r="G65" s="284"/>
      <c r="H65" s="284"/>
      <c r="I65" s="284"/>
      <c r="J65" s="266"/>
    </row>
    <row r="66" spans="1:10" x14ac:dyDescent="0.4">
      <c r="A66" s="284"/>
      <c r="B66" s="284"/>
      <c r="C66" s="284"/>
      <c r="D66" s="284"/>
      <c r="E66" s="284"/>
      <c r="F66" s="284"/>
      <c r="G66" s="284"/>
      <c r="H66" s="284"/>
      <c r="I66" s="284"/>
      <c r="J66" s="266"/>
    </row>
    <row r="67" spans="1:10" x14ac:dyDescent="0.4">
      <c r="A67" s="284"/>
      <c r="B67" s="284"/>
      <c r="C67" s="284"/>
      <c r="D67" s="284"/>
      <c r="E67" s="284"/>
      <c r="F67" s="284"/>
      <c r="G67" s="284"/>
      <c r="H67" s="284"/>
      <c r="I67" s="284"/>
      <c r="J67" s="266"/>
    </row>
    <row r="68" spans="1:10" x14ac:dyDescent="0.4">
      <c r="A68" s="284"/>
      <c r="B68" s="284"/>
      <c r="C68" s="284"/>
      <c r="D68" s="284"/>
      <c r="E68" s="284"/>
      <c r="F68" s="284"/>
      <c r="G68" s="284"/>
      <c r="H68" s="284"/>
      <c r="I68" s="284"/>
      <c r="J68" s="266"/>
    </row>
    <row r="69" spans="1:10" x14ac:dyDescent="0.4">
      <c r="A69" s="284"/>
      <c r="B69" s="284"/>
      <c r="C69" s="284"/>
      <c r="D69" s="284"/>
      <c r="E69" s="284"/>
      <c r="F69" s="284"/>
      <c r="G69" s="284"/>
      <c r="H69" s="284"/>
      <c r="I69" s="284"/>
      <c r="J69" s="266"/>
    </row>
    <row r="70" spans="1:10" x14ac:dyDescent="0.4">
      <c r="A70" s="284"/>
      <c r="B70" s="284"/>
      <c r="C70" s="284"/>
      <c r="D70" s="284"/>
      <c r="E70" s="284"/>
      <c r="F70" s="284"/>
      <c r="G70" s="284"/>
      <c r="H70" s="284"/>
      <c r="I70" s="284"/>
      <c r="J70" s="266"/>
    </row>
    <row r="71" spans="1:10" x14ac:dyDescent="0.4">
      <c r="A71" s="284"/>
      <c r="B71" s="284"/>
      <c r="C71" s="284"/>
      <c r="D71" s="284"/>
      <c r="E71" s="284"/>
      <c r="F71" s="284"/>
      <c r="G71" s="284"/>
      <c r="H71" s="284"/>
      <c r="I71" s="284"/>
      <c r="J71" s="266"/>
    </row>
  </sheetData>
  <mergeCells count="6">
    <mergeCell ref="C1:J5"/>
    <mergeCell ref="A5:B5"/>
    <mergeCell ref="A1:B1"/>
    <mergeCell ref="A2:B2"/>
    <mergeCell ref="A3:B3"/>
    <mergeCell ref="A4:B4"/>
  </mergeCell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04520-F2D0-4510-A828-BFE5F36399AD}">
  <sheetPr codeName="Sheet13">
    <tabColor rgb="FF00B050"/>
  </sheetPr>
  <dimension ref="A1:O194"/>
  <sheetViews>
    <sheetView topLeftCell="A158" workbookViewId="0">
      <selection activeCell="C175" sqref="C175"/>
    </sheetView>
  </sheetViews>
  <sheetFormatPr defaultColWidth="8.84375" defaultRowHeight="12.45" x14ac:dyDescent="0.3"/>
  <cols>
    <col min="1" max="1" width="2.3046875" style="38" customWidth="1"/>
    <col min="2" max="2" width="43.69140625" style="38" customWidth="1"/>
    <col min="3" max="3" width="12.69140625" style="38" customWidth="1"/>
    <col min="4" max="4" width="17.69140625" style="38" customWidth="1"/>
    <col min="5" max="5" width="1.69140625" style="38" customWidth="1"/>
    <col min="6" max="7" width="9.3046875" style="38" customWidth="1"/>
    <col min="8" max="8" width="2.69140625" style="38" customWidth="1"/>
    <col min="9" max="9" width="2.69140625" style="38" hidden="1" customWidth="1"/>
    <col min="10" max="10" width="22.69140625" style="43" hidden="1" customWidth="1"/>
    <col min="11" max="11" width="2.69140625" style="38" hidden="1" customWidth="1"/>
    <col min="12" max="13" width="8.69140625" style="43" hidden="1" customWidth="1"/>
    <col min="14" max="14" width="2.69140625" style="38" hidden="1" customWidth="1"/>
    <col min="15" max="15" width="66" style="38" customWidth="1"/>
    <col min="16" max="256" width="8.84375" style="38"/>
    <col min="257" max="257" width="2.3046875" style="38" customWidth="1"/>
    <col min="258" max="258" width="43.69140625" style="38" customWidth="1"/>
    <col min="259" max="259" width="12.69140625" style="38" customWidth="1"/>
    <col min="260" max="260" width="17.69140625" style="38" customWidth="1"/>
    <col min="261" max="261" width="1.69140625" style="38" customWidth="1"/>
    <col min="262" max="263" width="9.3046875" style="38" customWidth="1"/>
    <col min="264" max="264" width="2.69140625" style="38" customWidth="1"/>
    <col min="265" max="270" width="0" style="38" hidden="1" customWidth="1"/>
    <col min="271" max="271" width="66" style="38" customWidth="1"/>
    <col min="272" max="512" width="8.84375" style="38"/>
    <col min="513" max="513" width="2.3046875" style="38" customWidth="1"/>
    <col min="514" max="514" width="43.69140625" style="38" customWidth="1"/>
    <col min="515" max="515" width="12.69140625" style="38" customWidth="1"/>
    <col min="516" max="516" width="17.69140625" style="38" customWidth="1"/>
    <col min="517" max="517" width="1.69140625" style="38" customWidth="1"/>
    <col min="518" max="519" width="9.3046875" style="38" customWidth="1"/>
    <col min="520" max="520" width="2.69140625" style="38" customWidth="1"/>
    <col min="521" max="526" width="0" style="38" hidden="1" customWidth="1"/>
    <col min="527" max="527" width="66" style="38" customWidth="1"/>
    <col min="528" max="768" width="8.84375" style="38"/>
    <col min="769" max="769" width="2.3046875" style="38" customWidth="1"/>
    <col min="770" max="770" width="43.69140625" style="38" customWidth="1"/>
    <col min="771" max="771" width="12.69140625" style="38" customWidth="1"/>
    <col min="772" max="772" width="17.69140625" style="38" customWidth="1"/>
    <col min="773" max="773" width="1.69140625" style="38" customWidth="1"/>
    <col min="774" max="775" width="9.3046875" style="38" customWidth="1"/>
    <col min="776" max="776" width="2.69140625" style="38" customWidth="1"/>
    <col min="777" max="782" width="0" style="38" hidden="1" customWidth="1"/>
    <col min="783" max="783" width="66" style="38" customWidth="1"/>
    <col min="784" max="1024" width="8.84375" style="38"/>
    <col min="1025" max="1025" width="2.3046875" style="38" customWidth="1"/>
    <col min="1026" max="1026" width="43.69140625" style="38" customWidth="1"/>
    <col min="1027" max="1027" width="12.69140625" style="38" customWidth="1"/>
    <col min="1028" max="1028" width="17.69140625" style="38" customWidth="1"/>
    <col min="1029" max="1029" width="1.69140625" style="38" customWidth="1"/>
    <col min="1030" max="1031" width="9.3046875" style="38" customWidth="1"/>
    <col min="1032" max="1032" width="2.69140625" style="38" customWidth="1"/>
    <col min="1033" max="1038" width="0" style="38" hidden="1" customWidth="1"/>
    <col min="1039" max="1039" width="66" style="38" customWidth="1"/>
    <col min="1040" max="1280" width="8.84375" style="38"/>
    <col min="1281" max="1281" width="2.3046875" style="38" customWidth="1"/>
    <col min="1282" max="1282" width="43.69140625" style="38" customWidth="1"/>
    <col min="1283" max="1283" width="12.69140625" style="38" customWidth="1"/>
    <col min="1284" max="1284" width="17.69140625" style="38" customWidth="1"/>
    <col min="1285" max="1285" width="1.69140625" style="38" customWidth="1"/>
    <col min="1286" max="1287" width="9.3046875" style="38" customWidth="1"/>
    <col min="1288" max="1288" width="2.69140625" style="38" customWidth="1"/>
    <col min="1289" max="1294" width="0" style="38" hidden="1" customWidth="1"/>
    <col min="1295" max="1295" width="66" style="38" customWidth="1"/>
    <col min="1296" max="1536" width="8.84375" style="38"/>
    <col min="1537" max="1537" width="2.3046875" style="38" customWidth="1"/>
    <col min="1538" max="1538" width="43.69140625" style="38" customWidth="1"/>
    <col min="1539" max="1539" width="12.69140625" style="38" customWidth="1"/>
    <col min="1540" max="1540" width="17.69140625" style="38" customWidth="1"/>
    <col min="1541" max="1541" width="1.69140625" style="38" customWidth="1"/>
    <col min="1542" max="1543" width="9.3046875" style="38" customWidth="1"/>
    <col min="1544" max="1544" width="2.69140625" style="38" customWidth="1"/>
    <col min="1545" max="1550" width="0" style="38" hidden="1" customWidth="1"/>
    <col min="1551" max="1551" width="66" style="38" customWidth="1"/>
    <col min="1552" max="1792" width="8.84375" style="38"/>
    <col min="1793" max="1793" width="2.3046875" style="38" customWidth="1"/>
    <col min="1794" max="1794" width="43.69140625" style="38" customWidth="1"/>
    <col min="1795" max="1795" width="12.69140625" style="38" customWidth="1"/>
    <col min="1796" max="1796" width="17.69140625" style="38" customWidth="1"/>
    <col min="1797" max="1797" width="1.69140625" style="38" customWidth="1"/>
    <col min="1798" max="1799" width="9.3046875" style="38" customWidth="1"/>
    <col min="1800" max="1800" width="2.69140625" style="38" customWidth="1"/>
    <col min="1801" max="1806" width="0" style="38" hidden="1" customWidth="1"/>
    <col min="1807" max="1807" width="66" style="38" customWidth="1"/>
    <col min="1808" max="2048" width="8.84375" style="38"/>
    <col min="2049" max="2049" width="2.3046875" style="38" customWidth="1"/>
    <col min="2050" max="2050" width="43.69140625" style="38" customWidth="1"/>
    <col min="2051" max="2051" width="12.69140625" style="38" customWidth="1"/>
    <col min="2052" max="2052" width="17.69140625" style="38" customWidth="1"/>
    <col min="2053" max="2053" width="1.69140625" style="38" customWidth="1"/>
    <col min="2054" max="2055" width="9.3046875" style="38" customWidth="1"/>
    <col min="2056" max="2056" width="2.69140625" style="38" customWidth="1"/>
    <col min="2057" max="2062" width="0" style="38" hidden="1" customWidth="1"/>
    <col min="2063" max="2063" width="66" style="38" customWidth="1"/>
    <col min="2064" max="2304" width="8.84375" style="38"/>
    <col min="2305" max="2305" width="2.3046875" style="38" customWidth="1"/>
    <col min="2306" max="2306" width="43.69140625" style="38" customWidth="1"/>
    <col min="2307" max="2307" width="12.69140625" style="38" customWidth="1"/>
    <col min="2308" max="2308" width="17.69140625" style="38" customWidth="1"/>
    <col min="2309" max="2309" width="1.69140625" style="38" customWidth="1"/>
    <col min="2310" max="2311" width="9.3046875" style="38" customWidth="1"/>
    <col min="2312" max="2312" width="2.69140625" style="38" customWidth="1"/>
    <col min="2313" max="2318" width="0" style="38" hidden="1" customWidth="1"/>
    <col min="2319" max="2319" width="66" style="38" customWidth="1"/>
    <col min="2320" max="2560" width="8.84375" style="38"/>
    <col min="2561" max="2561" width="2.3046875" style="38" customWidth="1"/>
    <col min="2562" max="2562" width="43.69140625" style="38" customWidth="1"/>
    <col min="2563" max="2563" width="12.69140625" style="38" customWidth="1"/>
    <col min="2564" max="2564" width="17.69140625" style="38" customWidth="1"/>
    <col min="2565" max="2565" width="1.69140625" style="38" customWidth="1"/>
    <col min="2566" max="2567" width="9.3046875" style="38" customWidth="1"/>
    <col min="2568" max="2568" width="2.69140625" style="38" customWidth="1"/>
    <col min="2569" max="2574" width="0" style="38" hidden="1" customWidth="1"/>
    <col min="2575" max="2575" width="66" style="38" customWidth="1"/>
    <col min="2576" max="2816" width="8.84375" style="38"/>
    <col min="2817" max="2817" width="2.3046875" style="38" customWidth="1"/>
    <col min="2818" max="2818" width="43.69140625" style="38" customWidth="1"/>
    <col min="2819" max="2819" width="12.69140625" style="38" customWidth="1"/>
    <col min="2820" max="2820" width="17.69140625" style="38" customWidth="1"/>
    <col min="2821" max="2821" width="1.69140625" style="38" customWidth="1"/>
    <col min="2822" max="2823" width="9.3046875" style="38" customWidth="1"/>
    <col min="2824" max="2824" width="2.69140625" style="38" customWidth="1"/>
    <col min="2825" max="2830" width="0" style="38" hidden="1" customWidth="1"/>
    <col min="2831" max="2831" width="66" style="38" customWidth="1"/>
    <col min="2832" max="3072" width="8.84375" style="38"/>
    <col min="3073" max="3073" width="2.3046875" style="38" customWidth="1"/>
    <col min="3074" max="3074" width="43.69140625" style="38" customWidth="1"/>
    <col min="3075" max="3075" width="12.69140625" style="38" customWidth="1"/>
    <col min="3076" max="3076" width="17.69140625" style="38" customWidth="1"/>
    <col min="3077" max="3077" width="1.69140625" style="38" customWidth="1"/>
    <col min="3078" max="3079" width="9.3046875" style="38" customWidth="1"/>
    <col min="3080" max="3080" width="2.69140625" style="38" customWidth="1"/>
    <col min="3081" max="3086" width="0" style="38" hidden="1" customWidth="1"/>
    <col min="3087" max="3087" width="66" style="38" customWidth="1"/>
    <col min="3088" max="3328" width="8.84375" style="38"/>
    <col min="3329" max="3329" width="2.3046875" style="38" customWidth="1"/>
    <col min="3330" max="3330" width="43.69140625" style="38" customWidth="1"/>
    <col min="3331" max="3331" width="12.69140625" style="38" customWidth="1"/>
    <col min="3332" max="3332" width="17.69140625" style="38" customWidth="1"/>
    <col min="3333" max="3333" width="1.69140625" style="38" customWidth="1"/>
    <col min="3334" max="3335" width="9.3046875" style="38" customWidth="1"/>
    <col min="3336" max="3336" width="2.69140625" style="38" customWidth="1"/>
    <col min="3337" max="3342" width="0" style="38" hidden="1" customWidth="1"/>
    <col min="3343" max="3343" width="66" style="38" customWidth="1"/>
    <col min="3344" max="3584" width="8.84375" style="38"/>
    <col min="3585" max="3585" width="2.3046875" style="38" customWidth="1"/>
    <col min="3586" max="3586" width="43.69140625" style="38" customWidth="1"/>
    <col min="3587" max="3587" width="12.69140625" style="38" customWidth="1"/>
    <col min="3588" max="3588" width="17.69140625" style="38" customWidth="1"/>
    <col min="3589" max="3589" width="1.69140625" style="38" customWidth="1"/>
    <col min="3590" max="3591" width="9.3046875" style="38" customWidth="1"/>
    <col min="3592" max="3592" width="2.69140625" style="38" customWidth="1"/>
    <col min="3593" max="3598" width="0" style="38" hidden="1" customWidth="1"/>
    <col min="3599" max="3599" width="66" style="38" customWidth="1"/>
    <col min="3600" max="3840" width="8.84375" style="38"/>
    <col min="3841" max="3841" width="2.3046875" style="38" customWidth="1"/>
    <col min="3842" max="3842" width="43.69140625" style="38" customWidth="1"/>
    <col min="3843" max="3843" width="12.69140625" style="38" customWidth="1"/>
    <col min="3844" max="3844" width="17.69140625" style="38" customWidth="1"/>
    <col min="3845" max="3845" width="1.69140625" style="38" customWidth="1"/>
    <col min="3846" max="3847" width="9.3046875" style="38" customWidth="1"/>
    <col min="3848" max="3848" width="2.69140625" style="38" customWidth="1"/>
    <col min="3849" max="3854" width="0" style="38" hidden="1" customWidth="1"/>
    <col min="3855" max="3855" width="66" style="38" customWidth="1"/>
    <col min="3856" max="4096" width="8.84375" style="38"/>
    <col min="4097" max="4097" width="2.3046875" style="38" customWidth="1"/>
    <col min="4098" max="4098" width="43.69140625" style="38" customWidth="1"/>
    <col min="4099" max="4099" width="12.69140625" style="38" customWidth="1"/>
    <col min="4100" max="4100" width="17.69140625" style="38" customWidth="1"/>
    <col min="4101" max="4101" width="1.69140625" style="38" customWidth="1"/>
    <col min="4102" max="4103" width="9.3046875" style="38" customWidth="1"/>
    <col min="4104" max="4104" width="2.69140625" style="38" customWidth="1"/>
    <col min="4105" max="4110" width="0" style="38" hidden="1" customWidth="1"/>
    <col min="4111" max="4111" width="66" style="38" customWidth="1"/>
    <col min="4112" max="4352" width="8.84375" style="38"/>
    <col min="4353" max="4353" width="2.3046875" style="38" customWidth="1"/>
    <col min="4354" max="4354" width="43.69140625" style="38" customWidth="1"/>
    <col min="4355" max="4355" width="12.69140625" style="38" customWidth="1"/>
    <col min="4356" max="4356" width="17.69140625" style="38" customWidth="1"/>
    <col min="4357" max="4357" width="1.69140625" style="38" customWidth="1"/>
    <col min="4358" max="4359" width="9.3046875" style="38" customWidth="1"/>
    <col min="4360" max="4360" width="2.69140625" style="38" customWidth="1"/>
    <col min="4361" max="4366" width="0" style="38" hidden="1" customWidth="1"/>
    <col min="4367" max="4367" width="66" style="38" customWidth="1"/>
    <col min="4368" max="4608" width="8.84375" style="38"/>
    <col min="4609" max="4609" width="2.3046875" style="38" customWidth="1"/>
    <col min="4610" max="4610" width="43.69140625" style="38" customWidth="1"/>
    <col min="4611" max="4611" width="12.69140625" style="38" customWidth="1"/>
    <col min="4612" max="4612" width="17.69140625" style="38" customWidth="1"/>
    <col min="4613" max="4613" width="1.69140625" style="38" customWidth="1"/>
    <col min="4614" max="4615" width="9.3046875" style="38" customWidth="1"/>
    <col min="4616" max="4616" width="2.69140625" style="38" customWidth="1"/>
    <col min="4617" max="4622" width="0" style="38" hidden="1" customWidth="1"/>
    <col min="4623" max="4623" width="66" style="38" customWidth="1"/>
    <col min="4624" max="4864" width="8.84375" style="38"/>
    <col min="4865" max="4865" width="2.3046875" style="38" customWidth="1"/>
    <col min="4866" max="4866" width="43.69140625" style="38" customWidth="1"/>
    <col min="4867" max="4867" width="12.69140625" style="38" customWidth="1"/>
    <col min="4868" max="4868" width="17.69140625" style="38" customWidth="1"/>
    <col min="4869" max="4869" width="1.69140625" style="38" customWidth="1"/>
    <col min="4870" max="4871" width="9.3046875" style="38" customWidth="1"/>
    <col min="4872" max="4872" width="2.69140625" style="38" customWidth="1"/>
    <col min="4873" max="4878" width="0" style="38" hidden="1" customWidth="1"/>
    <col min="4879" max="4879" width="66" style="38" customWidth="1"/>
    <col min="4880" max="5120" width="8.84375" style="38"/>
    <col min="5121" max="5121" width="2.3046875" style="38" customWidth="1"/>
    <col min="5122" max="5122" width="43.69140625" style="38" customWidth="1"/>
    <col min="5123" max="5123" width="12.69140625" style="38" customWidth="1"/>
    <col min="5124" max="5124" width="17.69140625" style="38" customWidth="1"/>
    <col min="5125" max="5125" width="1.69140625" style="38" customWidth="1"/>
    <col min="5126" max="5127" width="9.3046875" style="38" customWidth="1"/>
    <col min="5128" max="5128" width="2.69140625" style="38" customWidth="1"/>
    <col min="5129" max="5134" width="0" style="38" hidden="1" customWidth="1"/>
    <col min="5135" max="5135" width="66" style="38" customWidth="1"/>
    <col min="5136" max="5376" width="8.84375" style="38"/>
    <col min="5377" max="5377" width="2.3046875" style="38" customWidth="1"/>
    <col min="5378" max="5378" width="43.69140625" style="38" customWidth="1"/>
    <col min="5379" max="5379" width="12.69140625" style="38" customWidth="1"/>
    <col min="5380" max="5380" width="17.69140625" style="38" customWidth="1"/>
    <col min="5381" max="5381" width="1.69140625" style="38" customWidth="1"/>
    <col min="5382" max="5383" width="9.3046875" style="38" customWidth="1"/>
    <col min="5384" max="5384" width="2.69140625" style="38" customWidth="1"/>
    <col min="5385" max="5390" width="0" style="38" hidden="1" customWidth="1"/>
    <col min="5391" max="5391" width="66" style="38" customWidth="1"/>
    <col min="5392" max="5632" width="8.84375" style="38"/>
    <col min="5633" max="5633" width="2.3046875" style="38" customWidth="1"/>
    <col min="5634" max="5634" width="43.69140625" style="38" customWidth="1"/>
    <col min="5635" max="5635" width="12.69140625" style="38" customWidth="1"/>
    <col min="5636" max="5636" width="17.69140625" style="38" customWidth="1"/>
    <col min="5637" max="5637" width="1.69140625" style="38" customWidth="1"/>
    <col min="5638" max="5639" width="9.3046875" style="38" customWidth="1"/>
    <col min="5640" max="5640" width="2.69140625" style="38" customWidth="1"/>
    <col min="5641" max="5646" width="0" style="38" hidden="1" customWidth="1"/>
    <col min="5647" max="5647" width="66" style="38" customWidth="1"/>
    <col min="5648" max="5888" width="8.84375" style="38"/>
    <col min="5889" max="5889" width="2.3046875" style="38" customWidth="1"/>
    <col min="5890" max="5890" width="43.69140625" style="38" customWidth="1"/>
    <col min="5891" max="5891" width="12.69140625" style="38" customWidth="1"/>
    <col min="5892" max="5892" width="17.69140625" style="38" customWidth="1"/>
    <col min="5893" max="5893" width="1.69140625" style="38" customWidth="1"/>
    <col min="5894" max="5895" width="9.3046875" style="38" customWidth="1"/>
    <col min="5896" max="5896" width="2.69140625" style="38" customWidth="1"/>
    <col min="5897" max="5902" width="0" style="38" hidden="1" customWidth="1"/>
    <col min="5903" max="5903" width="66" style="38" customWidth="1"/>
    <col min="5904" max="6144" width="8.84375" style="38"/>
    <col min="6145" max="6145" width="2.3046875" style="38" customWidth="1"/>
    <col min="6146" max="6146" width="43.69140625" style="38" customWidth="1"/>
    <col min="6147" max="6147" width="12.69140625" style="38" customWidth="1"/>
    <col min="6148" max="6148" width="17.69140625" style="38" customWidth="1"/>
    <col min="6149" max="6149" width="1.69140625" style="38" customWidth="1"/>
    <col min="6150" max="6151" width="9.3046875" style="38" customWidth="1"/>
    <col min="6152" max="6152" width="2.69140625" style="38" customWidth="1"/>
    <col min="6153" max="6158" width="0" style="38" hidden="1" customWidth="1"/>
    <col min="6159" max="6159" width="66" style="38" customWidth="1"/>
    <col min="6160" max="6400" width="8.84375" style="38"/>
    <col min="6401" max="6401" width="2.3046875" style="38" customWidth="1"/>
    <col min="6402" max="6402" width="43.69140625" style="38" customWidth="1"/>
    <col min="6403" max="6403" width="12.69140625" style="38" customWidth="1"/>
    <col min="6404" max="6404" width="17.69140625" style="38" customWidth="1"/>
    <col min="6405" max="6405" width="1.69140625" style="38" customWidth="1"/>
    <col min="6406" max="6407" width="9.3046875" style="38" customWidth="1"/>
    <col min="6408" max="6408" width="2.69140625" style="38" customWidth="1"/>
    <col min="6409" max="6414" width="0" style="38" hidden="1" customWidth="1"/>
    <col min="6415" max="6415" width="66" style="38" customWidth="1"/>
    <col min="6416" max="6656" width="8.84375" style="38"/>
    <col min="6657" max="6657" width="2.3046875" style="38" customWidth="1"/>
    <col min="6658" max="6658" width="43.69140625" style="38" customWidth="1"/>
    <col min="6659" max="6659" width="12.69140625" style="38" customWidth="1"/>
    <col min="6660" max="6660" width="17.69140625" style="38" customWidth="1"/>
    <col min="6661" max="6661" width="1.69140625" style="38" customWidth="1"/>
    <col min="6662" max="6663" width="9.3046875" style="38" customWidth="1"/>
    <col min="6664" max="6664" width="2.69140625" style="38" customWidth="1"/>
    <col min="6665" max="6670" width="0" style="38" hidden="1" customWidth="1"/>
    <col min="6671" max="6671" width="66" style="38" customWidth="1"/>
    <col min="6672" max="6912" width="8.84375" style="38"/>
    <col min="6913" max="6913" width="2.3046875" style="38" customWidth="1"/>
    <col min="6914" max="6914" width="43.69140625" style="38" customWidth="1"/>
    <col min="6915" max="6915" width="12.69140625" style="38" customWidth="1"/>
    <col min="6916" max="6916" width="17.69140625" style="38" customWidth="1"/>
    <col min="6917" max="6917" width="1.69140625" style="38" customWidth="1"/>
    <col min="6918" max="6919" width="9.3046875" style="38" customWidth="1"/>
    <col min="6920" max="6920" width="2.69140625" style="38" customWidth="1"/>
    <col min="6921" max="6926" width="0" style="38" hidden="1" customWidth="1"/>
    <col min="6927" max="6927" width="66" style="38" customWidth="1"/>
    <col min="6928" max="7168" width="8.84375" style="38"/>
    <col min="7169" max="7169" width="2.3046875" style="38" customWidth="1"/>
    <col min="7170" max="7170" width="43.69140625" style="38" customWidth="1"/>
    <col min="7171" max="7171" width="12.69140625" style="38" customWidth="1"/>
    <col min="7172" max="7172" width="17.69140625" style="38" customWidth="1"/>
    <col min="7173" max="7173" width="1.69140625" style="38" customWidth="1"/>
    <col min="7174" max="7175" width="9.3046875" style="38" customWidth="1"/>
    <col min="7176" max="7176" width="2.69140625" style="38" customWidth="1"/>
    <col min="7177" max="7182" width="0" style="38" hidden="1" customWidth="1"/>
    <col min="7183" max="7183" width="66" style="38" customWidth="1"/>
    <col min="7184" max="7424" width="8.84375" style="38"/>
    <col min="7425" max="7425" width="2.3046875" style="38" customWidth="1"/>
    <col min="7426" max="7426" width="43.69140625" style="38" customWidth="1"/>
    <col min="7427" max="7427" width="12.69140625" style="38" customWidth="1"/>
    <col min="7428" max="7428" width="17.69140625" style="38" customWidth="1"/>
    <col min="7429" max="7429" width="1.69140625" style="38" customWidth="1"/>
    <col min="7430" max="7431" width="9.3046875" style="38" customWidth="1"/>
    <col min="7432" max="7432" width="2.69140625" style="38" customWidth="1"/>
    <col min="7433" max="7438" width="0" style="38" hidden="1" customWidth="1"/>
    <col min="7439" max="7439" width="66" style="38" customWidth="1"/>
    <col min="7440" max="7680" width="8.84375" style="38"/>
    <col min="7681" max="7681" width="2.3046875" style="38" customWidth="1"/>
    <col min="7682" max="7682" width="43.69140625" style="38" customWidth="1"/>
    <col min="7683" max="7683" width="12.69140625" style="38" customWidth="1"/>
    <col min="7684" max="7684" width="17.69140625" style="38" customWidth="1"/>
    <col min="7685" max="7685" width="1.69140625" style="38" customWidth="1"/>
    <col min="7686" max="7687" width="9.3046875" style="38" customWidth="1"/>
    <col min="7688" max="7688" width="2.69140625" style="38" customWidth="1"/>
    <col min="7689" max="7694" width="0" style="38" hidden="1" customWidth="1"/>
    <col min="7695" max="7695" width="66" style="38" customWidth="1"/>
    <col min="7696" max="7936" width="8.84375" style="38"/>
    <col min="7937" max="7937" width="2.3046875" style="38" customWidth="1"/>
    <col min="7938" max="7938" width="43.69140625" style="38" customWidth="1"/>
    <col min="7939" max="7939" width="12.69140625" style="38" customWidth="1"/>
    <col min="7940" max="7940" width="17.69140625" style="38" customWidth="1"/>
    <col min="7941" max="7941" width="1.69140625" style="38" customWidth="1"/>
    <col min="7942" max="7943" width="9.3046875" style="38" customWidth="1"/>
    <col min="7944" max="7944" width="2.69140625" style="38" customWidth="1"/>
    <col min="7945" max="7950" width="0" style="38" hidden="1" customWidth="1"/>
    <col min="7951" max="7951" width="66" style="38" customWidth="1"/>
    <col min="7952" max="8192" width="8.84375" style="38"/>
    <col min="8193" max="8193" width="2.3046875" style="38" customWidth="1"/>
    <col min="8194" max="8194" width="43.69140625" style="38" customWidth="1"/>
    <col min="8195" max="8195" width="12.69140625" style="38" customWidth="1"/>
    <col min="8196" max="8196" width="17.69140625" style="38" customWidth="1"/>
    <col min="8197" max="8197" width="1.69140625" style="38" customWidth="1"/>
    <col min="8198" max="8199" width="9.3046875" style="38" customWidth="1"/>
    <col min="8200" max="8200" width="2.69140625" style="38" customWidth="1"/>
    <col min="8201" max="8206" width="0" style="38" hidden="1" customWidth="1"/>
    <col min="8207" max="8207" width="66" style="38" customWidth="1"/>
    <col min="8208" max="8448" width="8.84375" style="38"/>
    <col min="8449" max="8449" width="2.3046875" style="38" customWidth="1"/>
    <col min="8450" max="8450" width="43.69140625" style="38" customWidth="1"/>
    <col min="8451" max="8451" width="12.69140625" style="38" customWidth="1"/>
    <col min="8452" max="8452" width="17.69140625" style="38" customWidth="1"/>
    <col min="8453" max="8453" width="1.69140625" style="38" customWidth="1"/>
    <col min="8454" max="8455" width="9.3046875" style="38" customWidth="1"/>
    <col min="8456" max="8456" width="2.69140625" style="38" customWidth="1"/>
    <col min="8457" max="8462" width="0" style="38" hidden="1" customWidth="1"/>
    <col min="8463" max="8463" width="66" style="38" customWidth="1"/>
    <col min="8464" max="8704" width="8.84375" style="38"/>
    <col min="8705" max="8705" width="2.3046875" style="38" customWidth="1"/>
    <col min="8706" max="8706" width="43.69140625" style="38" customWidth="1"/>
    <col min="8707" max="8707" width="12.69140625" style="38" customWidth="1"/>
    <col min="8708" max="8708" width="17.69140625" style="38" customWidth="1"/>
    <col min="8709" max="8709" width="1.69140625" style="38" customWidth="1"/>
    <col min="8710" max="8711" width="9.3046875" style="38" customWidth="1"/>
    <col min="8712" max="8712" width="2.69140625" style="38" customWidth="1"/>
    <col min="8713" max="8718" width="0" style="38" hidden="1" customWidth="1"/>
    <col min="8719" max="8719" width="66" style="38" customWidth="1"/>
    <col min="8720" max="8960" width="8.84375" style="38"/>
    <col min="8961" max="8961" width="2.3046875" style="38" customWidth="1"/>
    <col min="8962" max="8962" width="43.69140625" style="38" customWidth="1"/>
    <col min="8963" max="8963" width="12.69140625" style="38" customWidth="1"/>
    <col min="8964" max="8964" width="17.69140625" style="38" customWidth="1"/>
    <col min="8965" max="8965" width="1.69140625" style="38" customWidth="1"/>
    <col min="8966" max="8967" width="9.3046875" style="38" customWidth="1"/>
    <col min="8968" max="8968" width="2.69140625" style="38" customWidth="1"/>
    <col min="8969" max="8974" width="0" style="38" hidden="1" customWidth="1"/>
    <col min="8975" max="8975" width="66" style="38" customWidth="1"/>
    <col min="8976" max="9216" width="8.84375" style="38"/>
    <col min="9217" max="9217" width="2.3046875" style="38" customWidth="1"/>
    <col min="9218" max="9218" width="43.69140625" style="38" customWidth="1"/>
    <col min="9219" max="9219" width="12.69140625" style="38" customWidth="1"/>
    <col min="9220" max="9220" width="17.69140625" style="38" customWidth="1"/>
    <col min="9221" max="9221" width="1.69140625" style="38" customWidth="1"/>
    <col min="9222" max="9223" width="9.3046875" style="38" customWidth="1"/>
    <col min="9224" max="9224" width="2.69140625" style="38" customWidth="1"/>
    <col min="9225" max="9230" width="0" style="38" hidden="1" customWidth="1"/>
    <col min="9231" max="9231" width="66" style="38" customWidth="1"/>
    <col min="9232" max="9472" width="8.84375" style="38"/>
    <col min="9473" max="9473" width="2.3046875" style="38" customWidth="1"/>
    <col min="9474" max="9474" width="43.69140625" style="38" customWidth="1"/>
    <col min="9475" max="9475" width="12.69140625" style="38" customWidth="1"/>
    <col min="9476" max="9476" width="17.69140625" style="38" customWidth="1"/>
    <col min="9477" max="9477" width="1.69140625" style="38" customWidth="1"/>
    <col min="9478" max="9479" width="9.3046875" style="38" customWidth="1"/>
    <col min="9480" max="9480" width="2.69140625" style="38" customWidth="1"/>
    <col min="9481" max="9486" width="0" style="38" hidden="1" customWidth="1"/>
    <col min="9487" max="9487" width="66" style="38" customWidth="1"/>
    <col min="9488" max="9728" width="8.84375" style="38"/>
    <col min="9729" max="9729" width="2.3046875" style="38" customWidth="1"/>
    <col min="9730" max="9730" width="43.69140625" style="38" customWidth="1"/>
    <col min="9731" max="9731" width="12.69140625" style="38" customWidth="1"/>
    <col min="9732" max="9732" width="17.69140625" style="38" customWidth="1"/>
    <col min="9733" max="9733" width="1.69140625" style="38" customWidth="1"/>
    <col min="9734" max="9735" width="9.3046875" style="38" customWidth="1"/>
    <col min="9736" max="9736" width="2.69140625" style="38" customWidth="1"/>
    <col min="9737" max="9742" width="0" style="38" hidden="1" customWidth="1"/>
    <col min="9743" max="9743" width="66" style="38" customWidth="1"/>
    <col min="9744" max="9984" width="8.84375" style="38"/>
    <col min="9985" max="9985" width="2.3046875" style="38" customWidth="1"/>
    <col min="9986" max="9986" width="43.69140625" style="38" customWidth="1"/>
    <col min="9987" max="9987" width="12.69140625" style="38" customWidth="1"/>
    <col min="9988" max="9988" width="17.69140625" style="38" customWidth="1"/>
    <col min="9989" max="9989" width="1.69140625" style="38" customWidth="1"/>
    <col min="9990" max="9991" width="9.3046875" style="38" customWidth="1"/>
    <col min="9992" max="9992" width="2.69140625" style="38" customWidth="1"/>
    <col min="9993" max="9998" width="0" style="38" hidden="1" customWidth="1"/>
    <col min="9999" max="9999" width="66" style="38" customWidth="1"/>
    <col min="10000" max="10240" width="8.84375" style="38"/>
    <col min="10241" max="10241" width="2.3046875" style="38" customWidth="1"/>
    <col min="10242" max="10242" width="43.69140625" style="38" customWidth="1"/>
    <col min="10243" max="10243" width="12.69140625" style="38" customWidth="1"/>
    <col min="10244" max="10244" width="17.69140625" style="38" customWidth="1"/>
    <col min="10245" max="10245" width="1.69140625" style="38" customWidth="1"/>
    <col min="10246" max="10247" width="9.3046875" style="38" customWidth="1"/>
    <col min="10248" max="10248" width="2.69140625" style="38" customWidth="1"/>
    <col min="10249" max="10254" width="0" style="38" hidden="1" customWidth="1"/>
    <col min="10255" max="10255" width="66" style="38" customWidth="1"/>
    <col min="10256" max="10496" width="8.84375" style="38"/>
    <col min="10497" max="10497" width="2.3046875" style="38" customWidth="1"/>
    <col min="10498" max="10498" width="43.69140625" style="38" customWidth="1"/>
    <col min="10499" max="10499" width="12.69140625" style="38" customWidth="1"/>
    <col min="10500" max="10500" width="17.69140625" style="38" customWidth="1"/>
    <col min="10501" max="10501" width="1.69140625" style="38" customWidth="1"/>
    <col min="10502" max="10503" width="9.3046875" style="38" customWidth="1"/>
    <col min="10504" max="10504" width="2.69140625" style="38" customWidth="1"/>
    <col min="10505" max="10510" width="0" style="38" hidden="1" customWidth="1"/>
    <col min="10511" max="10511" width="66" style="38" customWidth="1"/>
    <col min="10512" max="10752" width="8.84375" style="38"/>
    <col min="10753" max="10753" width="2.3046875" style="38" customWidth="1"/>
    <col min="10754" max="10754" width="43.69140625" style="38" customWidth="1"/>
    <col min="10755" max="10755" width="12.69140625" style="38" customWidth="1"/>
    <col min="10756" max="10756" width="17.69140625" style="38" customWidth="1"/>
    <col min="10757" max="10757" width="1.69140625" style="38" customWidth="1"/>
    <col min="10758" max="10759" width="9.3046875" style="38" customWidth="1"/>
    <col min="10760" max="10760" width="2.69140625" style="38" customWidth="1"/>
    <col min="10761" max="10766" width="0" style="38" hidden="1" customWidth="1"/>
    <col min="10767" max="10767" width="66" style="38" customWidth="1"/>
    <col min="10768" max="11008" width="8.84375" style="38"/>
    <col min="11009" max="11009" width="2.3046875" style="38" customWidth="1"/>
    <col min="11010" max="11010" width="43.69140625" style="38" customWidth="1"/>
    <col min="11011" max="11011" width="12.69140625" style="38" customWidth="1"/>
    <col min="11012" max="11012" width="17.69140625" style="38" customWidth="1"/>
    <col min="11013" max="11013" width="1.69140625" style="38" customWidth="1"/>
    <col min="11014" max="11015" width="9.3046875" style="38" customWidth="1"/>
    <col min="11016" max="11016" width="2.69140625" style="38" customWidth="1"/>
    <col min="11017" max="11022" width="0" style="38" hidden="1" customWidth="1"/>
    <col min="11023" max="11023" width="66" style="38" customWidth="1"/>
    <col min="11024" max="11264" width="8.84375" style="38"/>
    <col min="11265" max="11265" width="2.3046875" style="38" customWidth="1"/>
    <col min="11266" max="11266" width="43.69140625" style="38" customWidth="1"/>
    <col min="11267" max="11267" width="12.69140625" style="38" customWidth="1"/>
    <col min="11268" max="11268" width="17.69140625" style="38" customWidth="1"/>
    <col min="11269" max="11269" width="1.69140625" style="38" customWidth="1"/>
    <col min="11270" max="11271" width="9.3046875" style="38" customWidth="1"/>
    <col min="11272" max="11272" width="2.69140625" style="38" customWidth="1"/>
    <col min="11273" max="11278" width="0" style="38" hidden="1" customWidth="1"/>
    <col min="11279" max="11279" width="66" style="38" customWidth="1"/>
    <col min="11280" max="11520" width="8.84375" style="38"/>
    <col min="11521" max="11521" width="2.3046875" style="38" customWidth="1"/>
    <col min="11522" max="11522" width="43.69140625" style="38" customWidth="1"/>
    <col min="11523" max="11523" width="12.69140625" style="38" customWidth="1"/>
    <col min="11524" max="11524" width="17.69140625" style="38" customWidth="1"/>
    <col min="11525" max="11525" width="1.69140625" style="38" customWidth="1"/>
    <col min="11526" max="11527" width="9.3046875" style="38" customWidth="1"/>
    <col min="11528" max="11528" width="2.69140625" style="38" customWidth="1"/>
    <col min="11529" max="11534" width="0" style="38" hidden="1" customWidth="1"/>
    <col min="11535" max="11535" width="66" style="38" customWidth="1"/>
    <col min="11536" max="11776" width="8.84375" style="38"/>
    <col min="11777" max="11777" width="2.3046875" style="38" customWidth="1"/>
    <col min="11778" max="11778" width="43.69140625" style="38" customWidth="1"/>
    <col min="11779" max="11779" width="12.69140625" style="38" customWidth="1"/>
    <col min="11780" max="11780" width="17.69140625" style="38" customWidth="1"/>
    <col min="11781" max="11781" width="1.69140625" style="38" customWidth="1"/>
    <col min="11782" max="11783" width="9.3046875" style="38" customWidth="1"/>
    <col min="11784" max="11784" width="2.69140625" style="38" customWidth="1"/>
    <col min="11785" max="11790" width="0" style="38" hidden="1" customWidth="1"/>
    <col min="11791" max="11791" width="66" style="38" customWidth="1"/>
    <col min="11792" max="12032" width="8.84375" style="38"/>
    <col min="12033" max="12033" width="2.3046875" style="38" customWidth="1"/>
    <col min="12034" max="12034" width="43.69140625" style="38" customWidth="1"/>
    <col min="12035" max="12035" width="12.69140625" style="38" customWidth="1"/>
    <col min="12036" max="12036" width="17.69140625" style="38" customWidth="1"/>
    <col min="12037" max="12037" width="1.69140625" style="38" customWidth="1"/>
    <col min="12038" max="12039" width="9.3046875" style="38" customWidth="1"/>
    <col min="12040" max="12040" width="2.69140625" style="38" customWidth="1"/>
    <col min="12041" max="12046" width="0" style="38" hidden="1" customWidth="1"/>
    <col min="12047" max="12047" width="66" style="38" customWidth="1"/>
    <col min="12048" max="12288" width="8.84375" style="38"/>
    <col min="12289" max="12289" width="2.3046875" style="38" customWidth="1"/>
    <col min="12290" max="12290" width="43.69140625" style="38" customWidth="1"/>
    <col min="12291" max="12291" width="12.69140625" style="38" customWidth="1"/>
    <col min="12292" max="12292" width="17.69140625" style="38" customWidth="1"/>
    <col min="12293" max="12293" width="1.69140625" style="38" customWidth="1"/>
    <col min="12294" max="12295" width="9.3046875" style="38" customWidth="1"/>
    <col min="12296" max="12296" width="2.69140625" style="38" customWidth="1"/>
    <col min="12297" max="12302" width="0" style="38" hidden="1" customWidth="1"/>
    <col min="12303" max="12303" width="66" style="38" customWidth="1"/>
    <col min="12304" max="12544" width="8.84375" style="38"/>
    <col min="12545" max="12545" width="2.3046875" style="38" customWidth="1"/>
    <col min="12546" max="12546" width="43.69140625" style="38" customWidth="1"/>
    <col min="12547" max="12547" width="12.69140625" style="38" customWidth="1"/>
    <col min="12548" max="12548" width="17.69140625" style="38" customWidth="1"/>
    <col min="12549" max="12549" width="1.69140625" style="38" customWidth="1"/>
    <col min="12550" max="12551" width="9.3046875" style="38" customWidth="1"/>
    <col min="12552" max="12552" width="2.69140625" style="38" customWidth="1"/>
    <col min="12553" max="12558" width="0" style="38" hidden="1" customWidth="1"/>
    <col min="12559" max="12559" width="66" style="38" customWidth="1"/>
    <col min="12560" max="12800" width="8.84375" style="38"/>
    <col min="12801" max="12801" width="2.3046875" style="38" customWidth="1"/>
    <col min="12802" max="12802" width="43.69140625" style="38" customWidth="1"/>
    <col min="12803" max="12803" width="12.69140625" style="38" customWidth="1"/>
    <col min="12804" max="12804" width="17.69140625" style="38" customWidth="1"/>
    <col min="12805" max="12805" width="1.69140625" style="38" customWidth="1"/>
    <col min="12806" max="12807" width="9.3046875" style="38" customWidth="1"/>
    <col min="12808" max="12808" width="2.69140625" style="38" customWidth="1"/>
    <col min="12809" max="12814" width="0" style="38" hidden="1" customWidth="1"/>
    <col min="12815" max="12815" width="66" style="38" customWidth="1"/>
    <col min="12816" max="13056" width="8.84375" style="38"/>
    <col min="13057" max="13057" width="2.3046875" style="38" customWidth="1"/>
    <col min="13058" max="13058" width="43.69140625" style="38" customWidth="1"/>
    <col min="13059" max="13059" width="12.69140625" style="38" customWidth="1"/>
    <col min="13060" max="13060" width="17.69140625" style="38" customWidth="1"/>
    <col min="13061" max="13061" width="1.69140625" style="38" customWidth="1"/>
    <col min="13062" max="13063" width="9.3046875" style="38" customWidth="1"/>
    <col min="13064" max="13064" width="2.69140625" style="38" customWidth="1"/>
    <col min="13065" max="13070" width="0" style="38" hidden="1" customWidth="1"/>
    <col min="13071" max="13071" width="66" style="38" customWidth="1"/>
    <col min="13072" max="13312" width="8.84375" style="38"/>
    <col min="13313" max="13313" width="2.3046875" style="38" customWidth="1"/>
    <col min="13314" max="13314" width="43.69140625" style="38" customWidth="1"/>
    <col min="13315" max="13315" width="12.69140625" style="38" customWidth="1"/>
    <col min="13316" max="13316" width="17.69140625" style="38" customWidth="1"/>
    <col min="13317" max="13317" width="1.69140625" style="38" customWidth="1"/>
    <col min="13318" max="13319" width="9.3046875" style="38" customWidth="1"/>
    <col min="13320" max="13320" width="2.69140625" style="38" customWidth="1"/>
    <col min="13321" max="13326" width="0" style="38" hidden="1" customWidth="1"/>
    <col min="13327" max="13327" width="66" style="38" customWidth="1"/>
    <col min="13328" max="13568" width="8.84375" style="38"/>
    <col min="13569" max="13569" width="2.3046875" style="38" customWidth="1"/>
    <col min="13570" max="13570" width="43.69140625" style="38" customWidth="1"/>
    <col min="13571" max="13571" width="12.69140625" style="38" customWidth="1"/>
    <col min="13572" max="13572" width="17.69140625" style="38" customWidth="1"/>
    <col min="13573" max="13573" width="1.69140625" style="38" customWidth="1"/>
    <col min="13574" max="13575" width="9.3046875" style="38" customWidth="1"/>
    <col min="13576" max="13576" width="2.69140625" style="38" customWidth="1"/>
    <col min="13577" max="13582" width="0" style="38" hidden="1" customWidth="1"/>
    <col min="13583" max="13583" width="66" style="38" customWidth="1"/>
    <col min="13584" max="13824" width="8.84375" style="38"/>
    <col min="13825" max="13825" width="2.3046875" style="38" customWidth="1"/>
    <col min="13826" max="13826" width="43.69140625" style="38" customWidth="1"/>
    <col min="13827" max="13827" width="12.69140625" style="38" customWidth="1"/>
    <col min="13828" max="13828" width="17.69140625" style="38" customWidth="1"/>
    <col min="13829" max="13829" width="1.69140625" style="38" customWidth="1"/>
    <col min="13830" max="13831" width="9.3046875" style="38" customWidth="1"/>
    <col min="13832" max="13832" width="2.69140625" style="38" customWidth="1"/>
    <col min="13833" max="13838" width="0" style="38" hidden="1" customWidth="1"/>
    <col min="13839" max="13839" width="66" style="38" customWidth="1"/>
    <col min="13840" max="14080" width="8.84375" style="38"/>
    <col min="14081" max="14081" width="2.3046875" style="38" customWidth="1"/>
    <col min="14082" max="14082" width="43.69140625" style="38" customWidth="1"/>
    <col min="14083" max="14083" width="12.69140625" style="38" customWidth="1"/>
    <col min="14084" max="14084" width="17.69140625" style="38" customWidth="1"/>
    <col min="14085" max="14085" width="1.69140625" style="38" customWidth="1"/>
    <col min="14086" max="14087" width="9.3046875" style="38" customWidth="1"/>
    <col min="14088" max="14088" width="2.69140625" style="38" customWidth="1"/>
    <col min="14089" max="14094" width="0" style="38" hidden="1" customWidth="1"/>
    <col min="14095" max="14095" width="66" style="38" customWidth="1"/>
    <col min="14096" max="14336" width="8.84375" style="38"/>
    <col min="14337" max="14337" width="2.3046875" style="38" customWidth="1"/>
    <col min="14338" max="14338" width="43.69140625" style="38" customWidth="1"/>
    <col min="14339" max="14339" width="12.69140625" style="38" customWidth="1"/>
    <col min="14340" max="14340" width="17.69140625" style="38" customWidth="1"/>
    <col min="14341" max="14341" width="1.69140625" style="38" customWidth="1"/>
    <col min="14342" max="14343" width="9.3046875" style="38" customWidth="1"/>
    <col min="14344" max="14344" width="2.69140625" style="38" customWidth="1"/>
    <col min="14345" max="14350" width="0" style="38" hidden="1" customWidth="1"/>
    <col min="14351" max="14351" width="66" style="38" customWidth="1"/>
    <col min="14352" max="14592" width="8.84375" style="38"/>
    <col min="14593" max="14593" width="2.3046875" style="38" customWidth="1"/>
    <col min="14594" max="14594" width="43.69140625" style="38" customWidth="1"/>
    <col min="14595" max="14595" width="12.69140625" style="38" customWidth="1"/>
    <col min="14596" max="14596" width="17.69140625" style="38" customWidth="1"/>
    <col min="14597" max="14597" width="1.69140625" style="38" customWidth="1"/>
    <col min="14598" max="14599" width="9.3046875" style="38" customWidth="1"/>
    <col min="14600" max="14600" width="2.69140625" style="38" customWidth="1"/>
    <col min="14601" max="14606" width="0" style="38" hidden="1" customWidth="1"/>
    <col min="14607" max="14607" width="66" style="38" customWidth="1"/>
    <col min="14608" max="14848" width="8.84375" style="38"/>
    <col min="14849" max="14849" width="2.3046875" style="38" customWidth="1"/>
    <col min="14850" max="14850" width="43.69140625" style="38" customWidth="1"/>
    <col min="14851" max="14851" width="12.69140625" style="38" customWidth="1"/>
    <col min="14852" max="14852" width="17.69140625" style="38" customWidth="1"/>
    <col min="14853" max="14853" width="1.69140625" style="38" customWidth="1"/>
    <col min="14854" max="14855" width="9.3046875" style="38" customWidth="1"/>
    <col min="14856" max="14856" width="2.69140625" style="38" customWidth="1"/>
    <col min="14857" max="14862" width="0" style="38" hidden="1" customWidth="1"/>
    <col min="14863" max="14863" width="66" style="38" customWidth="1"/>
    <col min="14864" max="15104" width="8.84375" style="38"/>
    <col min="15105" max="15105" width="2.3046875" style="38" customWidth="1"/>
    <col min="15106" max="15106" width="43.69140625" style="38" customWidth="1"/>
    <col min="15107" max="15107" width="12.69140625" style="38" customWidth="1"/>
    <col min="15108" max="15108" width="17.69140625" style="38" customWidth="1"/>
    <col min="15109" max="15109" width="1.69140625" style="38" customWidth="1"/>
    <col min="15110" max="15111" width="9.3046875" style="38" customWidth="1"/>
    <col min="15112" max="15112" width="2.69140625" style="38" customWidth="1"/>
    <col min="15113" max="15118" width="0" style="38" hidden="1" customWidth="1"/>
    <col min="15119" max="15119" width="66" style="38" customWidth="1"/>
    <col min="15120" max="15360" width="8.84375" style="38"/>
    <col min="15361" max="15361" width="2.3046875" style="38" customWidth="1"/>
    <col min="15362" max="15362" width="43.69140625" style="38" customWidth="1"/>
    <col min="15363" max="15363" width="12.69140625" style="38" customWidth="1"/>
    <col min="15364" max="15364" width="17.69140625" style="38" customWidth="1"/>
    <col min="15365" max="15365" width="1.69140625" style="38" customWidth="1"/>
    <col min="15366" max="15367" width="9.3046875" style="38" customWidth="1"/>
    <col min="15368" max="15368" width="2.69140625" style="38" customWidth="1"/>
    <col min="15369" max="15374" width="0" style="38" hidden="1" customWidth="1"/>
    <col min="15375" max="15375" width="66" style="38" customWidth="1"/>
    <col min="15376" max="15616" width="8.84375" style="38"/>
    <col min="15617" max="15617" width="2.3046875" style="38" customWidth="1"/>
    <col min="15618" max="15618" width="43.69140625" style="38" customWidth="1"/>
    <col min="15619" max="15619" width="12.69140625" style="38" customWidth="1"/>
    <col min="15620" max="15620" width="17.69140625" style="38" customWidth="1"/>
    <col min="15621" max="15621" width="1.69140625" style="38" customWidth="1"/>
    <col min="15622" max="15623" width="9.3046875" style="38" customWidth="1"/>
    <col min="15624" max="15624" width="2.69140625" style="38" customWidth="1"/>
    <col min="15625" max="15630" width="0" style="38" hidden="1" customWidth="1"/>
    <col min="15631" max="15631" width="66" style="38" customWidth="1"/>
    <col min="15632" max="15872" width="8.84375" style="38"/>
    <col min="15873" max="15873" width="2.3046875" style="38" customWidth="1"/>
    <col min="15874" max="15874" width="43.69140625" style="38" customWidth="1"/>
    <col min="15875" max="15875" width="12.69140625" style="38" customWidth="1"/>
    <col min="15876" max="15876" width="17.69140625" style="38" customWidth="1"/>
    <col min="15877" max="15877" width="1.69140625" style="38" customWidth="1"/>
    <col min="15878" max="15879" width="9.3046875" style="38" customWidth="1"/>
    <col min="15880" max="15880" width="2.69140625" style="38" customWidth="1"/>
    <col min="15881" max="15886" width="0" style="38" hidden="1" customWidth="1"/>
    <col min="15887" max="15887" width="66" style="38" customWidth="1"/>
    <col min="15888" max="16128" width="8.84375" style="38"/>
    <col min="16129" max="16129" width="2.3046875" style="38" customWidth="1"/>
    <col min="16130" max="16130" width="43.69140625" style="38" customWidth="1"/>
    <col min="16131" max="16131" width="12.69140625" style="38" customWidth="1"/>
    <col min="16132" max="16132" width="17.69140625" style="38" customWidth="1"/>
    <col min="16133" max="16133" width="1.69140625" style="38" customWidth="1"/>
    <col min="16134" max="16135" width="9.3046875" style="38" customWidth="1"/>
    <col min="16136" max="16136" width="2.69140625" style="38" customWidth="1"/>
    <col min="16137" max="16142" width="0" style="38" hidden="1" customWidth="1"/>
    <col min="16143" max="16143" width="66" style="38" customWidth="1"/>
    <col min="16144" max="16384" width="8.84375" style="38"/>
  </cols>
  <sheetData>
    <row r="1" spans="1:15" ht="13.95" customHeight="1" x14ac:dyDescent="0.4">
      <c r="A1" s="37"/>
      <c r="B1" s="463" t="s">
        <v>152</v>
      </c>
      <c r="C1" s="463"/>
      <c r="D1" s="464"/>
      <c r="E1" s="465"/>
      <c r="F1" s="465"/>
      <c r="G1" s="465"/>
      <c r="I1" s="39"/>
      <c r="J1" s="40"/>
      <c r="K1" s="39"/>
      <c r="L1" s="40"/>
      <c r="M1" s="40"/>
      <c r="N1" s="39"/>
      <c r="O1"/>
    </row>
    <row r="2" spans="1:15" ht="13.95" customHeight="1" x14ac:dyDescent="0.3">
      <c r="A2" s="37"/>
      <c r="B2" s="463"/>
      <c r="C2" s="463"/>
      <c r="D2" s="466"/>
      <c r="E2" s="466"/>
      <c r="F2" s="466"/>
      <c r="G2" s="466"/>
      <c r="H2" s="41"/>
      <c r="I2" s="42"/>
    </row>
    <row r="3" spans="1:15" ht="22.95" customHeight="1" thickBot="1" x14ac:dyDescent="0.35">
      <c r="A3" s="467" t="str">
        <f>IF(D1=0,"Project Name and Information Here",D1)</f>
        <v>Project Name and Information Here</v>
      </c>
      <c r="B3" s="467"/>
      <c r="C3" s="467"/>
      <c r="D3" s="467"/>
      <c r="E3" s="467"/>
      <c r="F3" s="467"/>
      <c r="G3" s="467"/>
      <c r="H3" s="41"/>
      <c r="I3" s="42"/>
      <c r="J3" s="285" t="s">
        <v>153</v>
      </c>
      <c r="L3" s="468" t="s">
        <v>154</v>
      </c>
      <c r="M3" s="469"/>
      <c r="O3" s="44" t="s">
        <v>155</v>
      </c>
    </row>
    <row r="4" spans="1:15" ht="8.15" customHeight="1" x14ac:dyDescent="0.3">
      <c r="A4" s="45"/>
      <c r="B4" s="46"/>
      <c r="C4" s="47"/>
      <c r="D4" s="46"/>
      <c r="E4" s="48"/>
      <c r="F4" s="48"/>
      <c r="G4" s="49"/>
      <c r="H4" s="41"/>
      <c r="J4" s="286"/>
    </row>
    <row r="5" spans="1:15" ht="13.2" customHeight="1" x14ac:dyDescent="0.3">
      <c r="A5" s="50" t="s">
        <v>156</v>
      </c>
      <c r="B5" s="51"/>
      <c r="C5" s="52" t="s">
        <v>157</v>
      </c>
      <c r="D5" s="53"/>
      <c r="E5" s="54"/>
      <c r="F5" s="37"/>
      <c r="G5" s="55"/>
      <c r="H5" s="41"/>
      <c r="J5" s="56" t="s">
        <v>158</v>
      </c>
      <c r="L5" s="57" t="s">
        <v>159</v>
      </c>
      <c r="M5" s="57" t="s">
        <v>160</v>
      </c>
    </row>
    <row r="6" spans="1:15" ht="8.15" customHeight="1" x14ac:dyDescent="0.3">
      <c r="A6" s="58"/>
      <c r="B6" s="59"/>
      <c r="C6" s="60"/>
      <c r="D6" s="61"/>
      <c r="E6" s="62"/>
      <c r="F6" s="63"/>
      <c r="G6" s="64"/>
      <c r="H6" s="41"/>
      <c r="J6" s="56" t="s">
        <v>161</v>
      </c>
    </row>
    <row r="7" spans="1:15" ht="5.15" customHeight="1" x14ac:dyDescent="0.3">
      <c r="A7" s="65"/>
      <c r="B7" s="37"/>
      <c r="D7" s="37"/>
      <c r="E7" s="37"/>
      <c r="F7" s="37"/>
      <c r="G7" s="55"/>
      <c r="H7" s="41"/>
      <c r="J7" s="56" t="s">
        <v>157</v>
      </c>
    </row>
    <row r="8" spans="1:15" ht="12.45" customHeight="1" x14ac:dyDescent="0.35">
      <c r="A8" s="66" t="str">
        <f>"Select Type of Facility"</f>
        <v>Select Type of Facility</v>
      </c>
      <c r="B8" s="67"/>
      <c r="C8" s="68" t="s">
        <v>166</v>
      </c>
      <c r="D8" s="69"/>
      <c r="E8" s="37"/>
      <c r="F8" s="70"/>
      <c r="G8" s="71"/>
      <c r="H8" s="41"/>
      <c r="J8" s="56" t="s">
        <v>163</v>
      </c>
      <c r="L8" s="216"/>
      <c r="M8" s="216"/>
    </row>
    <row r="9" spans="1:15" ht="25.2" customHeight="1" x14ac:dyDescent="0.35">
      <c r="A9" s="72"/>
      <c r="B9" s="448" t="str">
        <f>IF($C$5=0,,(IF(C5="Army","* Select Type as Structural, ARFF, or Combination.",(IF(C5="Navy","* Select Type as Structural, ARFF, or Combination.",(IF(C5="Air Force","* Select Type as Structural, ARFF, or Combination.",(IF(C5="Marine Corps","* Select Type as Structural, ARFF, or Combination. Note: The Marine Corps rarely builds Combination Stations, and that selection must be justified.",)))))))))</f>
        <v>* Select Type as Structural, ARFF, or Combination.</v>
      </c>
      <c r="C9" s="448"/>
      <c r="D9" s="73"/>
      <c r="E9" s="62"/>
      <c r="F9" s="74"/>
      <c r="G9" s="75"/>
      <c r="H9" s="41"/>
      <c r="J9" s="56"/>
    </row>
    <row r="10" spans="1:15" ht="5.15" customHeight="1" x14ac:dyDescent="0.35">
      <c r="A10" s="65"/>
      <c r="B10" s="37"/>
      <c r="D10" s="76"/>
      <c r="E10" s="37"/>
      <c r="F10" s="37"/>
      <c r="G10" s="55"/>
      <c r="H10" s="41"/>
      <c r="J10" s="56" t="s">
        <v>162</v>
      </c>
      <c r="L10" s="57"/>
      <c r="M10" s="57"/>
    </row>
    <row r="11" spans="1:15" ht="12.45" customHeight="1" x14ac:dyDescent="0.35">
      <c r="A11" s="66" t="str">
        <f>"Select Class of Facility"</f>
        <v>Select Class of Facility</v>
      </c>
      <c r="B11" s="67"/>
      <c r="C11" s="68" t="s">
        <v>164</v>
      </c>
      <c r="D11" s="69"/>
      <c r="E11" s="37"/>
      <c r="F11" s="70"/>
      <c r="G11" s="77"/>
      <c r="H11" s="41"/>
      <c r="J11" s="56" t="s">
        <v>165</v>
      </c>
      <c r="L11" s="217"/>
      <c r="M11" s="217"/>
      <c r="O11" s="172"/>
    </row>
    <row r="12" spans="1:15" ht="25.2" customHeight="1" x14ac:dyDescent="0.35">
      <c r="A12" s="72"/>
      <c r="B12" s="448" t="str">
        <f>IF($C$8=0,,(IF(C5="Army","* Select Class as HQ/Main or Satellite.  The Army does not build Large HQ Facilities.",(IF(C5="Navy","* Select Class as HQ/Main,  Satellite, or Large HQ.",(IF(C5="Air Force","* Select Class as HQ/Main,  Satellite, or Large HQ.",(IF(C5="Marine Corps","* Select Class as HQ/Main or Satellite.  The Marine Corps does not build Large HQ Facilities.",)))))))))</f>
        <v>* Select Class as HQ/Main,  Satellite, or Large HQ.</v>
      </c>
      <c r="C12" s="448"/>
      <c r="D12" s="449">
        <f>IF(C8="Combination",,IF(C11="Large HQ","ERROR.  HQ/Main or Large HQ stations must be Combination stations.",))</f>
        <v>0</v>
      </c>
      <c r="E12" s="449"/>
      <c r="F12" s="449"/>
      <c r="G12" s="450"/>
      <c r="H12" s="41"/>
      <c r="J12" s="56" t="s">
        <v>166</v>
      </c>
      <c r="L12" s="78"/>
      <c r="O12" s="172"/>
    </row>
    <row r="13" spans="1:15" ht="5.15" customHeight="1" x14ac:dyDescent="0.35">
      <c r="A13" s="65"/>
      <c r="B13" s="37"/>
      <c r="C13" s="37"/>
      <c r="D13" s="76"/>
      <c r="E13" s="37"/>
      <c r="F13" s="37"/>
      <c r="G13" s="55"/>
      <c r="H13" s="41"/>
      <c r="J13" s="56"/>
    </row>
    <row r="14" spans="1:15" ht="12.45" customHeight="1" x14ac:dyDescent="0.35">
      <c r="A14" s="66" t="str">
        <f>"Staffed Companies and Dorm Rooms"</f>
        <v>Staffed Companies and Dorm Rooms</v>
      </c>
      <c r="B14" s="67"/>
      <c r="C14" s="79"/>
      <c r="D14" s="69"/>
      <c r="E14" s="37"/>
      <c r="F14" s="70"/>
      <c r="G14" s="77"/>
      <c r="H14" s="41"/>
      <c r="J14" s="56" t="s">
        <v>164</v>
      </c>
    </row>
    <row r="15" spans="1:15" ht="12.45" customHeight="1" x14ac:dyDescent="0.35">
      <c r="A15" s="66"/>
      <c r="B15" s="455"/>
      <c r="C15" s="455"/>
      <c r="D15" s="455"/>
      <c r="E15" s="455"/>
      <c r="F15" s="70"/>
      <c r="G15" s="77"/>
      <c r="H15" s="41"/>
      <c r="J15" s="56" t="s">
        <v>167</v>
      </c>
    </row>
    <row r="16" spans="1:15" ht="12.45" customHeight="1" x14ac:dyDescent="0.35">
      <c r="A16" s="66"/>
      <c r="B16" s="80" t="str">
        <f>IF(C11=0,"",(IF(C8="ARFF","","Enter No. of Structural Companies:")))</f>
        <v>Enter No. of Structural Companies:</v>
      </c>
      <c r="C16" s="81">
        <v>4</v>
      </c>
      <c r="D16" s="69"/>
      <c r="E16" s="37"/>
      <c r="F16" s="70"/>
      <c r="G16" s="77"/>
      <c r="H16" s="41"/>
      <c r="J16" s="56" t="s">
        <v>168</v>
      </c>
      <c r="L16" s="216">
        <f>IF($C$11=0,,(IF(C5="Army","* The Army typically builds 1- or 2-company stations, and Dorm Room count relates to Company count as follows: 5 rooms per structural co. and 4 rooms per ARFF co. You can modify the count below.",(IF(C5="Navy","* Navy stations range from 1 company up to 8 cos. Dorm Room count relates to co. count as follows: 5 rooms per structural co. and 4 rooms per ARFF co. You can modify the count below.",)))))</f>
        <v>0</v>
      </c>
      <c r="M16" s="218" t="str">
        <f>IF($C$11=0,,(IF(C5="Air Force","* Air Force stations range from 1 company up to 8 cos. Dorm Room counts relate to co. count as follows: 5 rooms per structural co. and 4 rooms per ARFF co. You can modify the count below.",(IF(C5="Marine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5 rooms per structural co. and 4 rooms per ARFF co. You can modify the count below.</v>
      </c>
    </row>
    <row r="17" spans="1:15" ht="12.45" customHeight="1" x14ac:dyDescent="0.35">
      <c r="A17" s="66"/>
      <c r="B17" s="80" t="str">
        <f>IF(C11=0,"",(IF(C8="Structural","","Enter No. of ARFF Companies:")))</f>
        <v>Enter No. of ARFF Companies:</v>
      </c>
      <c r="C17" s="82">
        <v>4</v>
      </c>
      <c r="D17" s="69"/>
      <c r="E17" s="37"/>
      <c r="F17" s="70"/>
      <c r="G17" s="77"/>
      <c r="H17" s="41"/>
      <c r="J17" s="56"/>
    </row>
    <row r="18" spans="1:15" ht="25.4" customHeight="1" x14ac:dyDescent="0.35">
      <c r="A18" s="66"/>
      <c r="B18" s="443" t="str">
        <f>IF($C$11=0,,(IF(C5="Army",L16,(IF(C5="Navy",L16,(IF(C5="Air Force",M16,(IF(C5="Marine Corps",M16,)))))))))</f>
        <v>* Air Force stations range from 1 company up to 8 cos. Dorm Room counts relate to co. count as follows: 5 rooms per structural co. and 4 rooms per ARFF co. You can modify the count below.</v>
      </c>
      <c r="C18" s="443"/>
      <c r="D18" s="443"/>
      <c r="E18" s="37"/>
      <c r="F18" s="83"/>
      <c r="G18" s="84"/>
      <c r="H18" s="41"/>
      <c r="J18" s="56" t="s">
        <v>169</v>
      </c>
    </row>
    <row r="19" spans="1:15" ht="7" customHeight="1" x14ac:dyDescent="0.35">
      <c r="A19" s="85"/>
      <c r="B19" s="86"/>
      <c r="C19" s="79"/>
      <c r="D19" s="69"/>
      <c r="E19" s="37"/>
      <c r="F19" s="70"/>
      <c r="G19" s="77"/>
      <c r="H19" s="41"/>
      <c r="J19" s="56" t="s">
        <v>170</v>
      </c>
      <c r="O19" s="172"/>
    </row>
    <row r="20" spans="1:15" ht="12.45" customHeight="1" x14ac:dyDescent="0.35">
      <c r="A20" s="85"/>
      <c r="B20" s="86" t="str">
        <f>IF($C$11=0,,"Based on no. of companies entered, the following dorm rooms will be provided:")</f>
        <v>Based on no. of companies entered, the following dorm rooms will be provided:</v>
      </c>
      <c r="C20" s="79"/>
      <c r="D20" s="87"/>
      <c r="E20" s="37"/>
      <c r="F20" s="219">
        <f>IF($C$8="Structural",IF($C$17&gt;0,"ERROR",($L$20+$M$20)),IF($C$8="ARFF",IF($C$16&gt;0,"ERROR",($L$20+$M$20)),($L$20+$M$20)))</f>
        <v>36</v>
      </c>
      <c r="G20" s="77"/>
      <c r="H20" s="41"/>
      <c r="J20" s="56"/>
      <c r="L20" s="216">
        <f>IF($C$11=0,,(IF(C5="Army",(C16*5)+(C17*4),(IF(C5="Navy",(C16*5)+(C17*4),)))))</f>
        <v>0</v>
      </c>
      <c r="M20" s="218">
        <f>IF($C$11=0,,(IF(C5="Air Force",(C16*5)+(C17*4),(IF(C5="Marine Corps",(C16*4)+(C17*4),)))))</f>
        <v>36</v>
      </c>
      <c r="O20" s="172"/>
    </row>
    <row r="21" spans="1:15" ht="12.45" customHeight="1" x14ac:dyDescent="0.35">
      <c r="A21" s="85"/>
      <c r="B21" s="80"/>
      <c r="C21" s="79"/>
      <c r="D21" s="69"/>
      <c r="E21" s="37"/>
      <c r="F21" s="456">
        <f>IF(F20="Error","Only enter data in shaded cells.",)</f>
        <v>0</v>
      </c>
      <c r="G21" s="457"/>
      <c r="H21" s="41"/>
      <c r="J21" s="56" t="s">
        <v>171</v>
      </c>
      <c r="O21" s="172"/>
    </row>
    <row r="22" spans="1:15" ht="12.45" customHeight="1" x14ac:dyDescent="0.35">
      <c r="A22" s="85"/>
      <c r="B22" s="80" t="str">
        <f>IF($C$11=0,,"Modify Dorm Room count (+ or -) as needed:")</f>
        <v>Modify Dorm Room count (+ or -) as needed:</v>
      </c>
      <c r="C22" s="68">
        <v>3</v>
      </c>
      <c r="D22" s="69"/>
      <c r="E22" s="37"/>
      <c r="F22" s="456"/>
      <c r="G22" s="457"/>
      <c r="H22" s="41"/>
      <c r="J22" s="56" t="s">
        <v>172</v>
      </c>
      <c r="L22" s="216"/>
      <c r="M22" s="216"/>
      <c r="O22" s="172"/>
    </row>
    <row r="23" spans="1:15" ht="12.45" customHeight="1" x14ac:dyDescent="0.35">
      <c r="A23" s="85"/>
      <c r="B23" s="458" t="str">
        <f>IF($C$11=0,,"* Add or subtract to the Dorm Room count as needed. Note, each Ambulance co. will typically require +2 rooms and each Rescue co. will typically require +3 rooms. Also consider X-staffing when modifying the count. Carefully review final room count with PM.")</f>
        <v>* Add or subtract to the Dorm Room count as needed. Note, each Ambulance co. will typically require +2 rooms and each Rescue co. will typically require +3 rooms. Also consider X-staffing when modifying the count. Carefully review final room count with PM.</v>
      </c>
      <c r="C23" s="443"/>
      <c r="D23" s="69"/>
      <c r="E23" s="37"/>
      <c r="F23" s="70"/>
      <c r="G23" s="77"/>
      <c r="H23" s="41"/>
      <c r="J23" s="56" t="s">
        <v>173</v>
      </c>
      <c r="O23" s="172"/>
    </row>
    <row r="24" spans="1:15" ht="12.45" customHeight="1" x14ac:dyDescent="0.35">
      <c r="A24" s="85"/>
      <c r="B24" s="443"/>
      <c r="C24" s="443"/>
      <c r="D24" s="69"/>
      <c r="E24" s="37"/>
      <c r="F24" s="70"/>
      <c r="G24" s="77"/>
      <c r="H24" s="41"/>
      <c r="J24" s="56"/>
      <c r="O24" s="172"/>
    </row>
    <row r="25" spans="1:15" ht="25.4" customHeight="1" x14ac:dyDescent="0.3">
      <c r="A25" s="88"/>
      <c r="B25" s="446"/>
      <c r="C25" s="446"/>
      <c r="D25" s="89"/>
      <c r="E25" s="89"/>
      <c r="F25" s="90" t="str">
        <f>IF(C11=0,,"Total Dorm Room Count:")</f>
        <v>Total Dorm Room Count:</v>
      </c>
      <c r="G25" s="91">
        <f>IF(F20=0,0,F20+C22)</f>
        <v>39</v>
      </c>
      <c r="H25" s="41"/>
      <c r="J25" s="285" t="s">
        <v>174</v>
      </c>
      <c r="O25" s="172"/>
    </row>
    <row r="26" spans="1:15" ht="5.15" customHeight="1" x14ac:dyDescent="0.35">
      <c r="A26" s="92"/>
      <c r="B26" s="93"/>
      <c r="C26" s="79"/>
      <c r="D26" s="69"/>
      <c r="E26" s="37"/>
      <c r="F26" s="94"/>
      <c r="G26" s="77"/>
      <c r="H26" s="41"/>
      <c r="J26" s="166"/>
    </row>
    <row r="27" spans="1:15" ht="12.45" customHeight="1" x14ac:dyDescent="0.35">
      <c r="A27" s="66" t="str">
        <f>"Enter No. of Each Class of Vehicle to be Housed"</f>
        <v>Enter No. of Each Class of Vehicle to be Housed</v>
      </c>
      <c r="B27" s="93"/>
      <c r="C27" s="79"/>
      <c r="D27" s="459" t="str">
        <f>IF(G25=0,,"     Bay Sizes **     ")</f>
        <v xml:space="preserve">     Bay Sizes **     </v>
      </c>
      <c r="E27" s="459"/>
      <c r="F27" s="459"/>
      <c r="G27" s="77"/>
      <c r="H27" s="41"/>
      <c r="J27" s="220">
        <v>9.2899999999999996E-2</v>
      </c>
    </row>
    <row r="28" spans="1:15" ht="12.45" customHeight="1" x14ac:dyDescent="0.35">
      <c r="A28" s="92"/>
      <c r="B28" s="80" t="str">
        <f>IF(G25=0,,"Large")</f>
        <v>Large</v>
      </c>
      <c r="C28" s="68">
        <v>2</v>
      </c>
      <c r="D28" s="95" t="str">
        <f>IF($G$25=0,,IF(B28=0,,(IF(($C$30+$C$31)&gt;0,"6706 mm (22 ft.) by 18288 mm (60 ft.)","5944 mm (19.5 ft.) by 18288 mm (60 ft.)"))))</f>
        <v>6706 mm (22 ft.) by 18288 mm (60 ft.)</v>
      </c>
      <c r="E28" s="37"/>
      <c r="F28" s="94"/>
      <c r="G28" s="77"/>
      <c r="H28" s="41"/>
      <c r="J28" s="96">
        <f>IF($G$25=0,,(IF(($C$30+$C$31)&gt;0,(22*60),(19.5*60))))</f>
        <v>1320</v>
      </c>
      <c r="L28" s="216"/>
      <c r="M28" s="216"/>
      <c r="O28" s="38" t="s">
        <v>175</v>
      </c>
    </row>
    <row r="29" spans="1:15" ht="12.45" customHeight="1" x14ac:dyDescent="0.35">
      <c r="A29" s="92"/>
      <c r="B29" s="80" t="str">
        <f>IF(G25=0,,"Medium")</f>
        <v>Medium</v>
      </c>
      <c r="C29" s="287">
        <v>4</v>
      </c>
      <c r="D29" s="95" t="str">
        <f>IF($G$25=0,,IF(B29=0,,(IF($C$30&gt;0,"6706 mm (22 ft.) by 18288 mm (60 ft.)",(IF($C$31&gt;0,(IF($C$28&gt;0,"6706 mm (22 ft.) by 18288 mm (60 ft.)","6707 mm (22 ft.) by 14630 mm (48 ft.)")),(IF($C$28&gt;0,"5944 mm (19.5 ft.) by 18288 mm (60 ft.)","5944 mm (19.5 ft.) by 14630 mm (48 ft.)"))))))))</f>
        <v>6706 mm (22 ft.) by 18288 mm (60 ft.)</v>
      </c>
      <c r="E29" s="37"/>
      <c r="F29" s="94"/>
      <c r="G29" s="77"/>
      <c r="H29" s="41"/>
      <c r="J29" s="96">
        <f>IF($G$25=0,,(IF($C$30&gt;0,(22*60),(IF($C$31&gt;0,(IF($C$28&gt;0,(22*60),(22*48))),(IF($C$28&gt;0,(19.5*60),(19.5*48))))))))</f>
        <v>1320</v>
      </c>
      <c r="L29" s="216"/>
      <c r="M29" s="216"/>
    </row>
    <row r="30" spans="1:15" ht="12.45" customHeight="1" x14ac:dyDescent="0.35">
      <c r="A30" s="92"/>
      <c r="B30" s="80" t="str">
        <f>IF(G25=0,,"Large ARFF")</f>
        <v>Large ARFF</v>
      </c>
      <c r="C30" s="287">
        <v>4</v>
      </c>
      <c r="D30" s="95" t="str">
        <f>IF($G$25=0,,IF(B30=0,,"6706 mm (22 ft.) by 18288 mm (60 ft.)"))</f>
        <v>6706 mm (22 ft.) by 18288 mm (60 ft.)</v>
      </c>
      <c r="E30" s="37"/>
      <c r="F30" s="94"/>
      <c r="G30" s="77"/>
      <c r="H30" s="41"/>
      <c r="J30" s="96">
        <f>IF($G$25=0,,(22*60))</f>
        <v>1320</v>
      </c>
      <c r="L30" s="216"/>
      <c r="M30" s="216"/>
      <c r="O30" s="38" t="s">
        <v>176</v>
      </c>
    </row>
    <row r="31" spans="1:15" ht="12.45" customHeight="1" x14ac:dyDescent="0.35">
      <c r="A31" s="92"/>
      <c r="B31" s="80" t="str">
        <f>IF(G25=0,,"Medium ARFF")</f>
        <v>Medium ARFF</v>
      </c>
      <c r="C31" s="287">
        <v>2</v>
      </c>
      <c r="D31" s="97" t="str">
        <f>IF($G$25=0,,IF(B31=0,,(IF(($C$30+$C$28)&gt;0,"6706 mm (22 ft.) by 18288 mm (60 ft.)","6707 mm (22 ft.) by 14630 mm (48 ft.)"))))</f>
        <v>6706 mm (22 ft.) by 18288 mm (60 ft.)</v>
      </c>
      <c r="E31" s="37"/>
      <c r="F31" s="94"/>
      <c r="G31" s="77"/>
      <c r="H31" s="41"/>
      <c r="J31" s="98">
        <f>IF($G$25=0,,(IF(($C$30+$C$28)&gt;0,(22*60),(22*48))))</f>
        <v>1320</v>
      </c>
      <c r="L31" s="216"/>
      <c r="M31" s="216"/>
      <c r="O31" s="38" t="s">
        <v>3684</v>
      </c>
    </row>
    <row r="32" spans="1:15" ht="12.45" customHeight="1" x14ac:dyDescent="0.35">
      <c r="A32" s="92"/>
      <c r="B32" s="80" t="str">
        <f>IF(G25=0,,"Small")</f>
        <v>Small</v>
      </c>
      <c r="C32" s="287">
        <v>2</v>
      </c>
      <c r="D32" s="95" t="str">
        <f>IF(G25=0,,"Small vehicles do not have a dedicated bay size.")</f>
        <v>Small vehicles do not have a dedicated bay size.</v>
      </c>
      <c r="E32" s="37"/>
      <c r="F32" s="94"/>
      <c r="G32" s="77"/>
      <c r="H32" s="41"/>
      <c r="J32" s="56"/>
      <c r="L32" s="216"/>
      <c r="M32" s="216"/>
      <c r="O32" s="38" t="s">
        <v>3685</v>
      </c>
    </row>
    <row r="33" spans="1:15" ht="12.45" customHeight="1" x14ac:dyDescent="0.35">
      <c r="A33" s="92"/>
      <c r="B33" s="460" t="str">
        <f>IF($G25=0,,"**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33" s="460"/>
      <c r="D33" s="95"/>
      <c r="E33" s="37"/>
      <c r="F33" s="94"/>
      <c r="G33" s="77"/>
      <c r="H33" s="41"/>
      <c r="J33" s="56"/>
      <c r="O33" s="38" t="s">
        <v>3686</v>
      </c>
    </row>
    <row r="34" spans="1:15" ht="25.4" customHeight="1" thickBot="1" x14ac:dyDescent="0.35">
      <c r="A34" s="99"/>
      <c r="B34" s="461"/>
      <c r="C34" s="461"/>
      <c r="D34" s="100"/>
      <c r="E34" s="101"/>
      <c r="F34" s="102" t="str">
        <f>IF(G25=0,,"Total Vehicles:")</f>
        <v>Total Vehicles:</v>
      </c>
      <c r="G34" s="103">
        <f>IF(G25=0,0,SUM($C$28:$C$32))</f>
        <v>14</v>
      </c>
      <c r="H34" s="41"/>
      <c r="J34" s="56"/>
      <c r="O34" s="104"/>
    </row>
    <row r="35" spans="1:15" ht="5.15" customHeight="1" x14ac:dyDescent="0.3">
      <c r="A35" s="92"/>
      <c r="B35" s="170"/>
      <c r="C35" s="170"/>
      <c r="D35" s="105"/>
      <c r="E35" s="37"/>
      <c r="F35" s="106"/>
      <c r="G35" s="84"/>
      <c r="H35" s="41"/>
      <c r="J35" s="107"/>
      <c r="O35" s="104"/>
    </row>
    <row r="36" spans="1:15" ht="12.45" customHeight="1" x14ac:dyDescent="0.35">
      <c r="A36" s="66" t="str">
        <f>"Maintenance and Apparatus Room Spaces"</f>
        <v>Maintenance and Apparatus Room Spaces</v>
      </c>
      <c r="B36" s="67"/>
      <c r="C36" s="79"/>
      <c r="D36" s="69"/>
      <c r="E36" s="37"/>
      <c r="F36" s="108"/>
      <c r="G36" s="109"/>
      <c r="H36" s="41"/>
      <c r="J36" s="56"/>
    </row>
    <row r="37" spans="1:15" ht="12.45" customHeight="1" x14ac:dyDescent="0.35">
      <c r="A37" s="110"/>
      <c r="B37" s="67"/>
      <c r="C37" s="79"/>
      <c r="D37" s="69"/>
      <c r="E37" s="37"/>
      <c r="F37" s="111" t="s">
        <v>177</v>
      </c>
      <c r="G37" s="112" t="s">
        <v>178</v>
      </c>
      <c r="H37" s="41"/>
      <c r="J37" s="56"/>
      <c r="L37" s="57" t="s">
        <v>159</v>
      </c>
      <c r="M37" s="57" t="s">
        <v>160</v>
      </c>
    </row>
    <row r="38" spans="1:15" ht="12.45" customHeight="1" x14ac:dyDescent="0.35">
      <c r="A38" s="65"/>
      <c r="B38" s="113" t="str">
        <f>IF(G34=0,,"Based on vehicle classes &amp; quantities entered above, the basic Apparatus Room is sized:")</f>
        <v>Based on vehicle classes &amp; quantities entered above, the basic Apparatus Room is sized:</v>
      </c>
      <c r="C38" s="114"/>
      <c r="D38" s="69"/>
      <c r="E38" s="115"/>
      <c r="F38" s="221">
        <f>G38*$J$27</f>
        <v>1471.5359999999998</v>
      </c>
      <c r="G38" s="116">
        <f>(C28*J28)+(C29*J29)+(C30*J30)+(C31*J31)</f>
        <v>15840</v>
      </c>
      <c r="H38" s="41"/>
      <c r="J38" s="56"/>
      <c r="L38" s="222"/>
      <c r="M38" s="222"/>
      <c r="O38" s="117"/>
    </row>
    <row r="39" spans="1:15" ht="12.65" customHeight="1" x14ac:dyDescent="0.35">
      <c r="A39" s="65"/>
      <c r="B39" s="443"/>
      <c r="C39" s="443"/>
      <c r="D39" s="69"/>
      <c r="E39" s="118"/>
      <c r="F39" s="94"/>
      <c r="G39" s="77"/>
      <c r="H39" s="41"/>
      <c r="J39" s="56"/>
    </row>
    <row r="40" spans="1:15" ht="12.65" customHeight="1" x14ac:dyDescent="0.35">
      <c r="A40" s="65"/>
      <c r="B40" s="113" t="str">
        <f>IF(G34=0,,"Based on the quantity of Small vehicles entered above, consider additional area as follows:")</f>
        <v>Based on the quantity of Small vehicles entered above, consider additional area as follows:</v>
      </c>
      <c r="C40" s="167"/>
      <c r="D40" s="69"/>
      <c r="E40" s="118"/>
      <c r="F40" s="221">
        <f>G40*$J$27</f>
        <v>122.628</v>
      </c>
      <c r="G40" s="116">
        <f>IF(M41=TRUE,,J40*J41)</f>
        <v>1320</v>
      </c>
      <c r="H40" s="41"/>
      <c r="J40" s="288">
        <f>ROUNDDOWN(C32/2,0)</f>
        <v>1</v>
      </c>
      <c r="L40" s="222"/>
      <c r="M40" s="222"/>
    </row>
    <row r="41" spans="1:15" ht="25.4" customHeight="1" x14ac:dyDescent="0.3">
      <c r="A41" s="65"/>
      <c r="B41" s="462" t="str">
        <f>IF($G34=0,,"*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1" s="462"/>
      <c r="D41" s="171"/>
      <c r="E41" s="119"/>
      <c r="F41" s="119"/>
      <c r="G41" s="120"/>
      <c r="H41" s="41"/>
      <c r="J41" s="121">
        <f>IF(G34=0,,(SUMIF(C28:C31,"&gt;0",J28:J31))/(COUNT(C28:C31)))</f>
        <v>1320</v>
      </c>
      <c r="M41" s="216" t="b">
        <v>0</v>
      </c>
    </row>
    <row r="42" spans="1:15" ht="12.65" customHeight="1" x14ac:dyDescent="0.35">
      <c r="A42" s="65"/>
      <c r="B42" s="171"/>
      <c r="C42" s="171"/>
      <c r="D42" s="69"/>
      <c r="E42" s="118"/>
      <c r="F42" s="94"/>
      <c r="G42" s="77"/>
      <c r="H42" s="41"/>
      <c r="J42" s="107"/>
    </row>
    <row r="43" spans="1:15" ht="12.65" customHeight="1" x14ac:dyDescent="0.35">
      <c r="A43" s="65"/>
      <c r="B43" s="113" t="str">
        <f>IF($G$34=0,,"Based on no. of Dorm Rooms entered above, the PPE Gear Storage Area is sized:")</f>
        <v>Based on no. of Dorm Rooms entered above, the PPE Gear Storage Area is sized:</v>
      </c>
      <c r="C43" s="114"/>
      <c r="D43" s="69"/>
      <c r="E43" s="115"/>
      <c r="F43" s="221">
        <f>G43*$J$27</f>
        <v>36.231000000000002</v>
      </c>
      <c r="G43" s="176">
        <f>IF(G34=0,,(G25*J43))</f>
        <v>390</v>
      </c>
      <c r="H43" s="41"/>
      <c r="J43" s="107">
        <v>10</v>
      </c>
      <c r="L43" s="222"/>
      <c r="M43" s="222"/>
      <c r="O43" s="122"/>
    </row>
    <row r="44" spans="1:15" ht="12.65" customHeight="1" x14ac:dyDescent="0.35">
      <c r="A44" s="65"/>
      <c r="B44" s="167"/>
      <c r="C44" s="167"/>
      <c r="D44" s="69"/>
      <c r="E44" s="118"/>
      <c r="F44" s="94"/>
      <c r="G44" s="77"/>
      <c r="H44" s="41"/>
      <c r="J44" s="107"/>
    </row>
    <row r="45" spans="1:15" ht="12.65" customHeight="1" x14ac:dyDescent="0.35">
      <c r="A45" s="65"/>
      <c r="B45" s="113" t="str">
        <f>IF($G$34=0,,IF(C11="Satellite","Hose Storage is typically only provided in Main Stations. If required, check box below.","Based on selections entered above, the Hose Storage Area is sized:"))</f>
        <v>Based on selections entered above, the Hose Storage Area is sized:</v>
      </c>
      <c r="C45" s="114"/>
      <c r="D45" s="69"/>
      <c r="E45" s="115"/>
      <c r="F45" s="221">
        <f>G45*$J$27</f>
        <v>5.0165999999999995</v>
      </c>
      <c r="G45" s="123">
        <f>IF(C11="Satellite",IF(L46=TRUE,J45,0),J45)</f>
        <v>54</v>
      </c>
      <c r="H45" s="41"/>
      <c r="J45" s="177">
        <v>54</v>
      </c>
      <c r="L45" s="222"/>
      <c r="M45" s="222"/>
      <c r="O45" s="125"/>
    </row>
    <row r="46" spans="1:15" ht="12.65" customHeight="1" x14ac:dyDescent="0.35">
      <c r="A46" s="65"/>
      <c r="B46" s="187" t="str">
        <f>IF($G$34=0,"",IF($C$11="Satellite","&lt; Check here to add Hose Storage in this Satellite station.",""))</f>
        <v/>
      </c>
      <c r="C46" s="126"/>
      <c r="D46" s="69"/>
      <c r="E46" s="118"/>
      <c r="F46" s="70"/>
      <c r="G46" s="175"/>
      <c r="H46" s="41"/>
      <c r="J46" s="107"/>
      <c r="L46" s="222" t="b">
        <v>0</v>
      </c>
      <c r="M46" s="127"/>
      <c r="O46" s="125"/>
    </row>
    <row r="47" spans="1:15" ht="12.65" customHeight="1" x14ac:dyDescent="0.35">
      <c r="A47" s="65"/>
      <c r="B47" s="167"/>
      <c r="C47" s="167"/>
      <c r="D47" s="69"/>
      <c r="E47" s="118"/>
      <c r="F47" s="94"/>
      <c r="G47" s="77"/>
      <c r="H47" s="41"/>
      <c r="J47" s="107"/>
    </row>
    <row r="48" spans="1:15" ht="12.65" customHeight="1" x14ac:dyDescent="0.35">
      <c r="A48" s="65"/>
      <c r="B48" s="113" t="str">
        <f>IF($G$34=0,,IF(C11="Satellite","SCBA Maint. Room is typically only provided in Main Stations. If required, check box below.","Based on selections entered above, the SCBA Maint. Room is sized:"))</f>
        <v>Based on selections entered above, the SCBA Maint. Room is sized:</v>
      </c>
      <c r="C48" s="114"/>
      <c r="D48" s="69"/>
      <c r="E48" s="115"/>
      <c r="F48" s="221">
        <f>G48*$J$27</f>
        <v>13.377599999999999</v>
      </c>
      <c r="G48" s="116">
        <f>IF($C$11="Satellite",IF(L49=TRUE,J48,0),J48)</f>
        <v>144</v>
      </c>
      <c r="H48" s="41"/>
      <c r="J48" s="178">
        <v>144</v>
      </c>
      <c r="L48" s="222"/>
      <c r="M48" s="222"/>
    </row>
    <row r="49" spans="1:15" ht="12.65" customHeight="1" x14ac:dyDescent="0.35">
      <c r="A49" s="65"/>
      <c r="B49" s="187" t="str">
        <f>IF($G$34=0,"",IF($C$11="Satellite","&lt; Check here to add SCBS Maintenance Room in this Satellite station.",""))</f>
        <v/>
      </c>
      <c r="C49" s="126"/>
      <c r="D49" s="69"/>
      <c r="E49" s="118"/>
      <c r="F49" s="70"/>
      <c r="G49" s="175"/>
      <c r="H49" s="41"/>
      <c r="J49" s="107"/>
      <c r="L49" s="222" t="b">
        <v>0</v>
      </c>
      <c r="M49" s="127"/>
    </row>
    <row r="50" spans="1:15" ht="12.65" customHeight="1" x14ac:dyDescent="0.35">
      <c r="A50" s="65"/>
      <c r="B50" s="167"/>
      <c r="C50" s="167"/>
      <c r="D50" s="69"/>
      <c r="E50" s="118"/>
      <c r="F50" s="94"/>
      <c r="G50" s="77"/>
      <c r="H50" s="41"/>
      <c r="J50" s="107"/>
    </row>
    <row r="51" spans="1:15" ht="12.65" customHeight="1" x14ac:dyDescent="0.35">
      <c r="A51" s="65"/>
      <c r="B51" s="113" t="str">
        <f>IF($G$34=0,,IF($C$11="Satellite","SCBA Compressor Rm is typically only provided in Main Sta. If required, check box below.","Based on selections entered above, the SCBA Compressor Rm is sized:"))</f>
        <v>Based on selections entered above, the SCBA Compressor Rm is sized:</v>
      </c>
      <c r="C51" s="114"/>
      <c r="D51" s="69"/>
      <c r="E51" s="115"/>
      <c r="F51" s="221">
        <f>G51*$J$27</f>
        <v>4.6449999999999996</v>
      </c>
      <c r="G51" s="116">
        <f>IF($C$11="Satellite",IF(L52=TRUE,J51,0),J51)</f>
        <v>50</v>
      </c>
      <c r="H51" s="41"/>
      <c r="J51" s="178">
        <v>50</v>
      </c>
      <c r="L51" s="222"/>
      <c r="M51" s="222"/>
    </row>
    <row r="52" spans="1:15" ht="12.65" customHeight="1" x14ac:dyDescent="0.35">
      <c r="A52" s="65"/>
      <c r="B52" s="179" t="str">
        <f>IF($G$34=0,"",IF($C$11="Satellite","&lt; Check here to add SCBA Compressor Room in this Satellite station.",""))</f>
        <v/>
      </c>
      <c r="C52" s="126"/>
      <c r="D52" s="69"/>
      <c r="E52" s="118"/>
      <c r="F52" s="70"/>
      <c r="G52" s="175"/>
      <c r="H52" s="41"/>
      <c r="J52" s="107"/>
      <c r="L52" s="222" t="b">
        <v>0</v>
      </c>
      <c r="M52" s="127"/>
    </row>
    <row r="53" spans="1:15" ht="12.65" customHeight="1" x14ac:dyDescent="0.35">
      <c r="A53" s="65"/>
      <c r="B53" s="167"/>
      <c r="C53" s="167"/>
      <c r="D53" s="69"/>
      <c r="E53" s="118"/>
      <c r="F53" s="94"/>
      <c r="G53" s="77"/>
      <c r="H53" s="41"/>
      <c r="J53" s="107"/>
    </row>
    <row r="54" spans="1:15" ht="12.65" customHeight="1" x14ac:dyDescent="0.35">
      <c r="A54" s="65"/>
      <c r="B54" s="113" t="str">
        <f>IF($G$34=0,,"Based on selections entered above, the Work Rm/Equip Maint. is sized:")</f>
        <v>Based on selections entered above, the Work Rm/Equip Maint. is sized:</v>
      </c>
      <c r="C54" s="114"/>
      <c r="D54" s="69"/>
      <c r="E54" s="115"/>
      <c r="F54" s="221">
        <f>G54*$J$27</f>
        <v>11.148</v>
      </c>
      <c r="G54" s="176">
        <f>IF($G$34=0,,J54)</f>
        <v>120</v>
      </c>
      <c r="H54" s="41"/>
      <c r="J54" s="107">
        <v>120</v>
      </c>
      <c r="L54" s="222"/>
      <c r="M54" s="222"/>
    </row>
    <row r="55" spans="1:15" ht="12.65" customHeight="1" x14ac:dyDescent="0.35">
      <c r="A55" s="65"/>
      <c r="B55" s="167"/>
      <c r="C55" s="167"/>
      <c r="D55" s="69"/>
      <c r="E55" s="118"/>
      <c r="F55" s="94"/>
      <c r="G55" s="77"/>
      <c r="H55" s="41"/>
      <c r="J55" s="107"/>
    </row>
    <row r="56" spans="1:15" ht="12.65" customHeight="1" x14ac:dyDescent="0.35">
      <c r="A56" s="65"/>
      <c r="B56" s="113" t="str">
        <f>IF($G$34=0,,"Based on selections entered above, the Equip Wash/Disinfect. is sized:")</f>
        <v>Based on selections entered above, the Equip Wash/Disinfect. is sized:</v>
      </c>
      <c r="C56" s="114"/>
      <c r="D56" s="69"/>
      <c r="E56" s="115"/>
      <c r="F56" s="221">
        <f>G56*$J$27</f>
        <v>11.148</v>
      </c>
      <c r="G56" s="176">
        <f>IF($G$34=0,,J54)</f>
        <v>120</v>
      </c>
      <c r="H56" s="41"/>
      <c r="J56" s="107">
        <v>150</v>
      </c>
      <c r="L56" s="222"/>
      <c r="M56" s="222"/>
    </row>
    <row r="57" spans="1:15" ht="12.65" customHeight="1" x14ac:dyDescent="0.35">
      <c r="A57" s="65"/>
      <c r="B57" s="167"/>
      <c r="C57" s="167"/>
      <c r="D57" s="69"/>
      <c r="E57" s="118"/>
      <c r="F57" s="94"/>
      <c r="G57" s="77"/>
      <c r="H57" s="41"/>
      <c r="J57" s="107"/>
    </row>
    <row r="58" spans="1:15" ht="12.65" customHeight="1" x14ac:dyDescent="0.35">
      <c r="A58" s="65"/>
      <c r="B58" s="113" t="str">
        <f>IF($G$34=0,,"Based on selections entered above, the Protect. Clothing Laund. is sized:")</f>
        <v>Based on selections entered above, the Protect. Clothing Laund. is sized:</v>
      </c>
      <c r="C58" s="114"/>
      <c r="D58" s="69"/>
      <c r="E58" s="115"/>
      <c r="F58" s="221">
        <f>G58*$J$27</f>
        <v>27.869999999999997</v>
      </c>
      <c r="G58" s="123" cm="1">
        <f t="array" ref="G58">_xlfn.IFS($C$16+$C$17=1,J58,$C$16+$C$17=2,J58,$C$16+$C$17=3,200,$C$16+$C$17=4,200,$C$16+$C$17&gt;4,300)</f>
        <v>300</v>
      </c>
      <c r="H58" s="41"/>
      <c r="J58" s="178">
        <v>100</v>
      </c>
      <c r="L58" s="222"/>
      <c r="M58" s="222"/>
      <c r="O58" s="38" t="s">
        <v>179</v>
      </c>
    </row>
    <row r="59" spans="1:15" ht="12.65" customHeight="1" x14ac:dyDescent="0.35">
      <c r="A59" s="65"/>
      <c r="B59" s="167"/>
      <c r="C59" s="167"/>
      <c r="D59" s="69"/>
      <c r="E59" s="118"/>
      <c r="F59" s="94"/>
      <c r="G59" s="77"/>
      <c r="H59" s="41"/>
      <c r="J59" s="107"/>
    </row>
    <row r="60" spans="1:15" ht="12.65" customHeight="1" x14ac:dyDescent="0.35">
      <c r="A60" s="65"/>
      <c r="B60" s="113" t="str">
        <f>IF($G$34=0,,"Based on selections entered above, the EMT Storage Room is sized:")</f>
        <v>Based on selections entered above, the EMT Storage Room is sized:</v>
      </c>
      <c r="C60" s="114"/>
      <c r="D60" s="69"/>
      <c r="E60" s="115"/>
      <c r="F60" s="221">
        <f>G60*$J$27</f>
        <v>3.7159999999999997</v>
      </c>
      <c r="G60" s="176">
        <f>IF($G$34=0,,J60)</f>
        <v>40</v>
      </c>
      <c r="H60" s="41"/>
      <c r="J60" s="107">
        <v>40</v>
      </c>
      <c r="L60" s="222"/>
      <c r="M60" s="222"/>
    </row>
    <row r="61" spans="1:15" ht="12.65" customHeight="1" x14ac:dyDescent="0.35">
      <c r="A61" s="65"/>
      <c r="B61" s="167"/>
      <c r="C61" s="167"/>
      <c r="D61" s="69"/>
      <c r="E61" s="118"/>
      <c r="F61" s="94"/>
      <c r="G61" s="77"/>
      <c r="H61" s="41"/>
      <c r="J61" s="107"/>
    </row>
    <row r="62" spans="1:15" ht="12.65" customHeight="1" x14ac:dyDescent="0.35">
      <c r="A62" s="65"/>
      <c r="B62" s="113" t="str">
        <f>IF($G$34=0,,IF($C$11="Satellite","HAZMAT Equip. Storage is typically only provided in Main Sta. If required, check box below.","Based on selections entered above, the HAZMAT Equip. Storage is sized:"))</f>
        <v>Based on selections entered above, the HAZMAT Equip. Storage is sized:</v>
      </c>
      <c r="C62" s="114"/>
      <c r="D62" s="69"/>
      <c r="E62" s="115"/>
      <c r="F62" s="221">
        <f>G62*$J$27</f>
        <v>11.148</v>
      </c>
      <c r="G62" s="116">
        <f>IF($C$11="Satellite",IF(L63=TRUE,J62,0),J62)</f>
        <v>120</v>
      </c>
      <c r="H62" s="41"/>
      <c r="J62" s="178">
        <v>120</v>
      </c>
      <c r="L62" s="222"/>
      <c r="M62" s="222"/>
    </row>
    <row r="63" spans="1:15" ht="12.65" customHeight="1" x14ac:dyDescent="0.35">
      <c r="A63" s="65"/>
      <c r="B63" s="179" t="str">
        <f>IF($G$34=0,"",IF($C$11="Satellite","&lt; Check here to add HAZMAT/CBRNE Equip. Storage in this Satellite station.",""))</f>
        <v/>
      </c>
      <c r="C63" s="126"/>
      <c r="D63" s="69"/>
      <c r="E63" s="118"/>
      <c r="F63" s="70"/>
      <c r="G63" s="175"/>
      <c r="H63" s="41"/>
      <c r="J63" s="107"/>
      <c r="L63" s="222" t="b">
        <v>0</v>
      </c>
      <c r="M63" s="127"/>
    </row>
    <row r="64" spans="1:15" ht="12.65" customHeight="1" x14ac:dyDescent="0.35">
      <c r="A64" s="65"/>
      <c r="B64" s="167"/>
      <c r="C64" s="167"/>
      <c r="D64" s="69"/>
      <c r="E64" s="118"/>
      <c r="F64" s="94"/>
      <c r="G64" s="77"/>
      <c r="H64" s="41"/>
      <c r="J64" s="107"/>
    </row>
    <row r="65" spans="1:15" ht="12.65" customHeight="1" x14ac:dyDescent="0.35">
      <c r="A65" s="65"/>
      <c r="B65" s="113" t="str">
        <f>IF($G$34=0,,IF($C$11="Satellite","Spare PPE Storage is typically only provided in Main Sta. If required, check box below.","Based on selections entered above, the Spare PPE Storage is sized:"))</f>
        <v>Based on selections entered above, the Spare PPE Storage is sized:</v>
      </c>
      <c r="C65" s="114"/>
      <c r="D65" s="69"/>
      <c r="E65" s="115"/>
      <c r="F65" s="221">
        <f>G65*$J$27</f>
        <v>5.9455999999999998</v>
      </c>
      <c r="G65" s="116">
        <f>IF($C$11="Satellite",IF(L66=TRUE,J65,0),J65)</f>
        <v>64</v>
      </c>
      <c r="H65" s="41"/>
      <c r="J65" s="178">
        <v>64</v>
      </c>
      <c r="L65" s="222"/>
      <c r="M65" s="222"/>
    </row>
    <row r="66" spans="1:15" ht="12.65" customHeight="1" x14ac:dyDescent="0.35">
      <c r="A66" s="65"/>
      <c r="B66" s="179" t="str">
        <f>IF($G$34=0,"",IF($C$11="Satellite","&lt; Check here to add Spare PPE Gear Storage in this Satellite station.",""))</f>
        <v/>
      </c>
      <c r="C66" s="126"/>
      <c r="D66" s="69"/>
      <c r="E66" s="118"/>
      <c r="F66" s="70"/>
      <c r="G66" s="175"/>
      <c r="H66" s="41"/>
      <c r="J66" s="107"/>
      <c r="L66" s="222" t="b">
        <v>0</v>
      </c>
      <c r="M66" s="127"/>
    </row>
    <row r="67" spans="1:15" ht="12.65" customHeight="1" x14ac:dyDescent="0.35">
      <c r="A67" s="65"/>
      <c r="B67" s="167"/>
      <c r="C67" s="167"/>
      <c r="D67" s="69"/>
      <c r="E67" s="118"/>
      <c r="F67" s="94"/>
      <c r="G67" s="77"/>
      <c r="H67" s="41"/>
      <c r="J67" s="107"/>
    </row>
    <row r="68" spans="1:15" ht="12.45" customHeight="1" x14ac:dyDescent="0.35">
      <c r="A68" s="65"/>
      <c r="B68" s="80" t="str">
        <f>IF($G$34=0,,"Select Vehicle Maint./Storage Bay (yes or no):")</f>
        <v>Select Vehicle Maint./Storage Bay (yes or no):</v>
      </c>
      <c r="C68" s="68" t="s">
        <v>169</v>
      </c>
      <c r="D68" s="69"/>
      <c r="E68" s="37"/>
      <c r="F68" s="221">
        <f>G68*$J$27</f>
        <v>111.47999999999999</v>
      </c>
      <c r="G68" s="176">
        <f>IF($G$34=0,,IF(C68="Yes",J68,))</f>
        <v>1200</v>
      </c>
      <c r="H68" s="41"/>
      <c r="J68" s="107">
        <v>1200</v>
      </c>
      <c r="L68" s="222"/>
      <c r="M68" s="222"/>
      <c r="O68" s="451"/>
    </row>
    <row r="69" spans="1:15" ht="12.45" customHeight="1" x14ac:dyDescent="0.35">
      <c r="A69" s="65"/>
      <c r="B69" s="452"/>
      <c r="C69" s="452"/>
      <c r="D69" s="76"/>
      <c r="E69" s="37"/>
      <c r="F69" s="62"/>
      <c r="G69" s="128"/>
      <c r="H69" s="41"/>
      <c r="J69" s="107"/>
      <c r="O69" s="451"/>
    </row>
    <row r="70" spans="1:15" ht="12.45" customHeight="1" x14ac:dyDescent="0.35">
      <c r="A70" s="65"/>
      <c r="B70" s="129" t="str">
        <f>IF($G$34=0,,"Vehicle Maint./Storage Bay includes Vehicle Maint. Office at:")</f>
        <v>Vehicle Maint./Storage Bay includes Vehicle Maint. Office at:</v>
      </c>
      <c r="C70" s="130"/>
      <c r="D70" s="76"/>
      <c r="E70" s="37"/>
      <c r="F70" s="221">
        <f>G70*$J$27</f>
        <v>9.2899999999999991</v>
      </c>
      <c r="G70" s="180">
        <f>IF(G68=0,,J70)</f>
        <v>100</v>
      </c>
      <c r="H70" s="41"/>
      <c r="J70" s="107">
        <v>100</v>
      </c>
      <c r="L70" s="216"/>
      <c r="M70" s="216"/>
      <c r="O70" s="172"/>
    </row>
    <row r="71" spans="1:15" ht="12.45" customHeight="1" x14ac:dyDescent="0.35">
      <c r="A71" s="65"/>
      <c r="B71" s="129" t="str">
        <f>IF($G$34=0,,"Vehicle Maint./Storage Bay includes Vehicle Maint. Equipment Storage at:")</f>
        <v>Vehicle Maint./Storage Bay includes Vehicle Maint. Equipment Storage at:</v>
      </c>
      <c r="C71" s="130"/>
      <c r="D71" s="76"/>
      <c r="E71" s="37"/>
      <c r="F71" s="221">
        <f>G71*$J$27</f>
        <v>37.159999999999997</v>
      </c>
      <c r="G71" s="180">
        <f>IF(G68=0,,J71)</f>
        <v>400</v>
      </c>
      <c r="H71" s="41"/>
      <c r="J71" s="107">
        <v>400</v>
      </c>
      <c r="L71" s="216"/>
      <c r="M71" s="216"/>
      <c r="O71" s="172"/>
    </row>
    <row r="72" spans="1:15" ht="12.45" customHeight="1" x14ac:dyDescent="0.35">
      <c r="A72" s="65"/>
      <c r="B72" s="130"/>
      <c r="C72" s="130"/>
      <c r="D72" s="76"/>
      <c r="E72" s="37"/>
      <c r="F72" s="62"/>
      <c r="G72" s="128"/>
      <c r="H72" s="41"/>
      <c r="J72" s="107"/>
      <c r="O72" s="172"/>
    </row>
    <row r="73" spans="1:15" ht="12.45" customHeight="1" x14ac:dyDescent="0.35">
      <c r="A73" s="65"/>
      <c r="B73" s="80" t="str">
        <f>IF($G$34=0,,"Enter Fire Exting. Inspection (no. of stations):")</f>
        <v>Enter Fire Exting. Inspection (no. of stations):</v>
      </c>
      <c r="C73" s="131">
        <v>1</v>
      </c>
      <c r="D73" s="69"/>
      <c r="E73" s="37"/>
      <c r="F73" s="221">
        <f>G73*$J$27</f>
        <v>2.2296</v>
      </c>
      <c r="G73" s="176">
        <f>IF($G$34=0,,IF(C73=0,,(J73*C73)))</f>
        <v>24</v>
      </c>
      <c r="H73" s="41"/>
      <c r="J73" s="107">
        <v>24</v>
      </c>
      <c r="L73" s="222"/>
      <c r="M73" s="222"/>
      <c r="O73" s="38" t="s">
        <v>180</v>
      </c>
    </row>
    <row r="74" spans="1:15" ht="25.4" customHeight="1" x14ac:dyDescent="0.35">
      <c r="A74" s="65"/>
      <c r="B74" s="443"/>
      <c r="C74" s="443"/>
      <c r="D74" s="76"/>
      <c r="E74" s="37"/>
      <c r="F74" s="62"/>
      <c r="G74" s="128"/>
      <c r="H74" s="41"/>
      <c r="J74" s="107"/>
    </row>
    <row r="75" spans="1:15" ht="12.45" customHeight="1" x14ac:dyDescent="0.35">
      <c r="A75" s="65"/>
      <c r="B75" s="80" t="str">
        <f>IF($G$34=0,,"Select Non-Flightline Fire Exting. Maint. (yes or no):")</f>
        <v>Select Non-Flightline Fire Exting. Maint. (yes or no):</v>
      </c>
      <c r="C75" s="68" t="s">
        <v>169</v>
      </c>
      <c r="D75" s="69"/>
      <c r="E75" s="37"/>
      <c r="F75" s="221">
        <f>G75*$J$27</f>
        <v>11.148</v>
      </c>
      <c r="G75" s="176">
        <f>IF($G$34=0,,IF(C75="Yes",J75,))</f>
        <v>120</v>
      </c>
      <c r="H75" s="41"/>
      <c r="J75" s="107">
        <v>120</v>
      </c>
      <c r="L75" s="222"/>
      <c r="M75" s="222"/>
    </row>
    <row r="76" spans="1:15" ht="12.65" customHeight="1" x14ac:dyDescent="0.35">
      <c r="A76" s="110"/>
      <c r="B76" s="167"/>
      <c r="C76" s="167"/>
      <c r="D76" s="76"/>
      <c r="E76" s="37"/>
      <c r="F76" s="62"/>
      <c r="G76" s="128"/>
      <c r="H76" s="41"/>
      <c r="J76" s="107"/>
    </row>
    <row r="77" spans="1:15" ht="12.65" customHeight="1" x14ac:dyDescent="0.35">
      <c r="A77" s="110"/>
      <c r="B77" s="80" t="str">
        <f>IF($G$34=0,,"Select Flightline (FL) Fire Exting. Maint. (yes or no):")</f>
        <v>Select Flightline (FL) Fire Exting. Maint. (yes or no):</v>
      </c>
      <c r="C77" s="68" t="s">
        <v>169</v>
      </c>
      <c r="D77" s="69"/>
      <c r="E77" s="37"/>
      <c r="F77" s="221">
        <f>G77*$J$27</f>
        <v>14.863999999999999</v>
      </c>
      <c r="G77" s="176">
        <f>IF($G$34=0,,IF(C75="Yes",J77,))</f>
        <v>160</v>
      </c>
      <c r="H77" s="41"/>
      <c r="J77" s="107">
        <v>160</v>
      </c>
    </row>
    <row r="78" spans="1:15" ht="12.65" customHeight="1" x14ac:dyDescent="0.35">
      <c r="A78" s="110"/>
      <c r="B78" s="167"/>
      <c r="C78" s="167"/>
      <c r="D78" s="76"/>
      <c r="E78" s="37"/>
      <c r="F78" s="62"/>
      <c r="G78" s="128"/>
      <c r="H78" s="41"/>
      <c r="J78" s="107"/>
    </row>
    <row r="79" spans="1:15" ht="12.65" customHeight="1" x14ac:dyDescent="0.35">
      <c r="A79" s="110"/>
      <c r="B79" s="80" t="str">
        <f>IF($G$34=0,,"Select FL Fire Exting. Covered Storage (yes or no):")</f>
        <v>Select FL Fire Exting. Covered Storage (yes or no):</v>
      </c>
      <c r="C79" s="68" t="s">
        <v>169</v>
      </c>
      <c r="D79" s="69"/>
      <c r="E79" s="37"/>
      <c r="F79" s="221">
        <f>G79*$J$27</f>
        <v>3.7159999999999997</v>
      </c>
      <c r="G79" s="176">
        <f>IF($G$34=0,,IF(C75="Yes",J79,))</f>
        <v>40</v>
      </c>
      <c r="H79" s="41"/>
      <c r="J79" s="107">
        <v>40</v>
      </c>
    </row>
    <row r="80" spans="1:15" ht="12.65" customHeight="1" x14ac:dyDescent="0.35">
      <c r="A80" s="110"/>
      <c r="B80" s="167"/>
      <c r="C80" s="167"/>
      <c r="D80" s="76"/>
      <c r="E80" s="37"/>
      <c r="F80" s="62"/>
      <c r="G80" s="128"/>
      <c r="H80" s="41"/>
      <c r="J80" s="107"/>
    </row>
    <row r="81" spans="1:15" ht="12.45" customHeight="1" x14ac:dyDescent="0.35">
      <c r="A81" s="65"/>
      <c r="B81" s="453" t="s">
        <v>181</v>
      </c>
      <c r="C81" s="68" t="s">
        <v>169</v>
      </c>
      <c r="D81" s="69"/>
      <c r="E81" s="37"/>
      <c r="F81" s="221">
        <f>G81*$J$27</f>
        <v>16.721999999999998</v>
      </c>
      <c r="G81" s="176">
        <f>IF($G$34=0,,IF(C75="Yes",J81,))</f>
        <v>180</v>
      </c>
      <c r="H81" s="41"/>
      <c r="J81" s="107">
        <v>180</v>
      </c>
      <c r="L81" s="222"/>
      <c r="M81" s="222"/>
    </row>
    <row r="82" spans="1:15" ht="12.45" customHeight="1" x14ac:dyDescent="0.35">
      <c r="A82" s="65"/>
      <c r="B82" s="454"/>
      <c r="C82" s="41"/>
      <c r="D82" s="69"/>
      <c r="E82" s="37"/>
      <c r="F82" s="289"/>
      <c r="G82" s="290"/>
      <c r="H82" s="41"/>
      <c r="J82" s="107"/>
      <c r="L82" s="127"/>
      <c r="M82" s="127"/>
    </row>
    <row r="83" spans="1:15" ht="12.45" customHeight="1" x14ac:dyDescent="0.3">
      <c r="A83" s="65"/>
      <c r="B83" s="443" t="str">
        <f>IF($G34=0,,IF(C5="Air Force","* This Air Force-only item provides space for Spare Flightline Fire Extinguisher Tanks Exterior Covered Storage.",))</f>
        <v>* This Air Force-only item provides space for Spare Flightline Fire Extinguisher Tanks Exterior Covered Storage.</v>
      </c>
      <c r="C83" s="443"/>
      <c r="D83" s="171"/>
      <c r="E83" s="37"/>
      <c r="F83" s="70"/>
      <c r="G83" s="71"/>
      <c r="H83" s="41"/>
      <c r="J83" s="107"/>
      <c r="L83" s="127"/>
      <c r="M83" s="127"/>
    </row>
    <row r="84" spans="1:15" ht="12.65" customHeight="1" x14ac:dyDescent="0.35">
      <c r="A84" s="72"/>
      <c r="B84" s="446"/>
      <c r="C84" s="446"/>
      <c r="D84" s="132"/>
      <c r="E84" s="62"/>
      <c r="F84" s="62"/>
      <c r="G84" s="128"/>
      <c r="H84" s="41"/>
      <c r="J84" s="107"/>
    </row>
    <row r="85" spans="1:15" ht="5.15" customHeight="1" x14ac:dyDescent="0.35">
      <c r="A85" s="110"/>
      <c r="B85" s="167"/>
      <c r="C85" s="167"/>
      <c r="D85" s="76"/>
      <c r="E85" s="37"/>
      <c r="F85" s="37"/>
      <c r="G85" s="55"/>
      <c r="H85" s="41"/>
      <c r="J85" s="107"/>
    </row>
    <row r="86" spans="1:15" ht="12.45" customHeight="1" x14ac:dyDescent="0.35">
      <c r="A86" s="66" t="str">
        <f>"Day Room and Residential Area"</f>
        <v>Day Room and Residential Area</v>
      </c>
      <c r="B86" s="67"/>
      <c r="C86" s="79"/>
      <c r="D86" s="76"/>
      <c r="E86" s="37"/>
      <c r="F86" s="37"/>
      <c r="G86" s="55"/>
      <c r="H86" s="41"/>
      <c r="J86" s="107"/>
    </row>
    <row r="87" spans="1:15" ht="12.45" customHeight="1" x14ac:dyDescent="0.35">
      <c r="A87" s="65"/>
      <c r="B87" s="37"/>
      <c r="C87" s="79"/>
      <c r="D87" s="76"/>
      <c r="E87" s="37"/>
      <c r="F87" s="111" t="s">
        <v>177</v>
      </c>
      <c r="G87" s="112" t="s">
        <v>178</v>
      </c>
      <c r="H87" s="41"/>
      <c r="J87" s="107"/>
    </row>
    <row r="88" spans="1:15" ht="12.45" customHeight="1" x14ac:dyDescent="0.35">
      <c r="A88" s="65"/>
      <c r="B88" s="80" t="str">
        <f>IF($G$34=0,,"Based on no. of Companies entered above, the Day Room is sized:")</f>
        <v>Based on no. of Companies entered above, the Day Room is sized:</v>
      </c>
      <c r="C88" s="79"/>
      <c r="D88" s="69"/>
      <c r="E88" s="37"/>
      <c r="F88" s="221">
        <f>G88*$J$27</f>
        <v>481.59359999999998</v>
      </c>
      <c r="G88" s="176">
        <f>IF($G$34=0,,((C16+C17)*J88))</f>
        <v>5184</v>
      </c>
      <c r="H88" s="41"/>
      <c r="J88" s="107">
        <v>648</v>
      </c>
      <c r="L88" s="222"/>
      <c r="M88" s="222"/>
    </row>
    <row r="89" spans="1:15" ht="12.45" customHeight="1" x14ac:dyDescent="0.35">
      <c r="A89" s="65"/>
      <c r="B89" s="37"/>
      <c r="C89" s="79"/>
      <c r="D89" s="76"/>
      <c r="E89" s="37"/>
      <c r="F89" s="37"/>
      <c r="G89" s="55"/>
      <c r="H89" s="41"/>
      <c r="J89" s="107"/>
    </row>
    <row r="90" spans="1:15" ht="12.45" customHeight="1" x14ac:dyDescent="0.35">
      <c r="A90" s="65"/>
      <c r="B90" s="80" t="str">
        <f>IF($G$34=0,,"Select Dorm Room bed configuration")</f>
        <v>Select Dorm Room bed configuration</v>
      </c>
      <c r="C90" s="68" t="s">
        <v>172</v>
      </c>
      <c r="D90" s="76"/>
      <c r="E90" s="37"/>
      <c r="F90" s="37"/>
      <c r="G90" s="55"/>
      <c r="H90" s="41"/>
      <c r="J90" s="107"/>
    </row>
    <row r="91" spans="1:15" ht="12.45" customHeight="1" x14ac:dyDescent="0.35">
      <c r="A91" s="65"/>
      <c r="B91" s="37"/>
      <c r="C91" s="79"/>
      <c r="D91" s="76"/>
      <c r="E91" s="37"/>
      <c r="F91" s="37"/>
      <c r="G91" s="55"/>
      <c r="H91" s="41"/>
      <c r="J91" s="107"/>
    </row>
    <row r="92" spans="1:15" ht="12.45" customHeight="1" x14ac:dyDescent="0.35">
      <c r="A92" s="65"/>
      <c r="B92" s="113" t="str">
        <f>IF($G$34=0,,"Based on Total Dorm Room Count &amp; bed configuration selected, the Dorm Room Area is sized:")</f>
        <v>Based on Total Dorm Room Count &amp; bed configuration selected, the Dorm Room Area is sized:</v>
      </c>
      <c r="C92" s="79"/>
      <c r="D92" s="76"/>
      <c r="E92" s="37"/>
      <c r="F92" s="221">
        <f>G92*$J$27</f>
        <v>507.23399999999998</v>
      </c>
      <c r="G92" s="176">
        <f>IF($G$34=0,,IF(C90=J21,(G25*108),IF(C90=J22,(G25*140),IF(C90=J23,(G25*100),))))</f>
        <v>5460</v>
      </c>
      <c r="H92" s="41"/>
      <c r="J92" s="107"/>
      <c r="L92" s="222"/>
      <c r="M92" s="222"/>
      <c r="O92" s="447"/>
    </row>
    <row r="93" spans="1:15" ht="12.45" customHeight="1" x14ac:dyDescent="0.35">
      <c r="A93" s="65"/>
      <c r="B93" s="181" t="s">
        <v>182</v>
      </c>
      <c r="C93" s="79"/>
      <c r="D93" s="76"/>
      <c r="E93" s="37"/>
      <c r="F93" s="70"/>
      <c r="G93" s="77"/>
      <c r="H93" s="41"/>
      <c r="J93" s="107"/>
      <c r="L93" s="127"/>
      <c r="M93" s="127"/>
      <c r="O93" s="447"/>
    </row>
    <row r="94" spans="1:15" ht="12.45" customHeight="1" x14ac:dyDescent="0.35">
      <c r="A94" s="65"/>
      <c r="B94" s="133" t="str">
        <f>IF($G$34=0,,IF(C16=0," 0  Structural Companies,"," "&amp;C16&amp;"  Structural Companies,"))</f>
        <v xml:space="preserve"> 4  Structural Companies,</v>
      </c>
      <c r="C94" s="79"/>
      <c r="D94" s="76"/>
      <c r="E94" s="37"/>
      <c r="F94" s="70"/>
      <c r="G94" s="77"/>
      <c r="H94" s="41"/>
      <c r="J94" s="107"/>
      <c r="L94" s="127"/>
      <c r="M94" s="127"/>
      <c r="O94" s="447"/>
    </row>
    <row r="95" spans="1:15" ht="12.45" customHeight="1" x14ac:dyDescent="0.35">
      <c r="A95" s="65"/>
      <c r="B95" s="133" t="str">
        <f>IF($G$34=0,,IF(C17=0," 0 ARFF Companies, and"," "&amp;C17&amp;"  ARFF Companies, and"))</f>
        <v xml:space="preserve"> 4  ARFF Companies, and</v>
      </c>
      <c r="C95" s="79"/>
      <c r="D95" s="76"/>
      <c r="E95" s="37"/>
      <c r="F95" s="70"/>
      <c r="G95" s="77"/>
      <c r="H95" s="41"/>
      <c r="J95" s="107"/>
      <c r="L95" s="127"/>
      <c r="M95" s="127"/>
      <c r="O95" s="447"/>
    </row>
    <row r="96" spans="1:15" ht="12.45" customHeight="1" x14ac:dyDescent="0.35">
      <c r="A96" s="65"/>
      <c r="B96" s="133" t="str">
        <f>IF($G$34=0,,IF(C22=0," 0 additional Dorm Rooms (for ambulance or rescue companies or other modifications)."," "&amp;C22&amp;"  additional Dorm Rooms (for ambulance or rescue companies or other modifications)."))</f>
        <v xml:space="preserve"> 3  additional Dorm Rooms (for ambulance or rescue companies or other modifications).</v>
      </c>
      <c r="C96" s="79"/>
      <c r="D96" s="76"/>
      <c r="E96" s="37"/>
      <c r="F96" s="70"/>
      <c r="G96" s="77"/>
      <c r="H96" s="41"/>
      <c r="J96" s="107"/>
      <c r="L96" s="127"/>
      <c r="M96" s="127"/>
      <c r="O96" s="173"/>
    </row>
    <row r="97" spans="1:15" ht="12.45" customHeight="1" x14ac:dyDescent="0.35">
      <c r="A97" s="65"/>
      <c r="B97" s="95"/>
      <c r="C97" s="79"/>
      <c r="D97" s="69"/>
      <c r="E97" s="37"/>
      <c r="F97" s="234">
        <v>0</v>
      </c>
      <c r="G97" s="235">
        <v>0</v>
      </c>
      <c r="H97" s="41"/>
      <c r="J97" s="107"/>
      <c r="L97" s="134"/>
      <c r="M97" s="134">
        <v>0</v>
      </c>
      <c r="O97" s="173"/>
    </row>
    <row r="98" spans="1:15" ht="12.45" customHeight="1" x14ac:dyDescent="0.35">
      <c r="A98" s="65"/>
      <c r="B98" s="80" t="str">
        <f>IF($G$34=0,,"Based on no. of Companies entered above, the Bathrooms are sized:")</f>
        <v>Based on no. of Companies entered above, the Bathrooms are sized:</v>
      </c>
      <c r="C98" s="79"/>
      <c r="D98" s="69"/>
      <c r="E98" s="37"/>
      <c r="F98" s="221">
        <f>G98*$J$27</f>
        <v>58.527000000000001</v>
      </c>
      <c r="G98" s="123" cm="1">
        <f t="array" ref="G98">_xlfn.IFS($C$16+$C$17=1,250,$C$16+$C$17=2,J98,$C$16+$C$17=3,380,$C$16+$C$17=4,430,$C$16+$C$17=5,480,$C$16+$C$17=6,530,$C$16+$C$17=7,580,$C$16+$C$17=8,630)</f>
        <v>630</v>
      </c>
      <c r="H98" s="41"/>
      <c r="J98" s="178">
        <v>330</v>
      </c>
      <c r="L98" s="222"/>
      <c r="M98" s="222"/>
      <c r="O98" s="447" t="s">
        <v>183</v>
      </c>
    </row>
    <row r="99" spans="1:15" ht="12.45" customHeight="1" x14ac:dyDescent="0.35">
      <c r="A99" s="65"/>
      <c r="B99" s="168"/>
      <c r="C99" s="136"/>
      <c r="D99" s="69"/>
      <c r="E99" s="37"/>
      <c r="F99" s="94"/>
      <c r="G99" s="137"/>
      <c r="H99" s="41"/>
      <c r="J99" s="107"/>
      <c r="O99" s="447"/>
    </row>
    <row r="100" spans="1:15" ht="12.45" customHeight="1" x14ac:dyDescent="0.35">
      <c r="A100" s="65"/>
      <c r="B100" s="80" t="str">
        <f>IF($G$34=0,,"Based on no. of Companies entered above, the Laundry Room is sized:")</f>
        <v>Based on no. of Companies entered above, the Laundry Room is sized:</v>
      </c>
      <c r="C100" s="136"/>
      <c r="D100" s="69"/>
      <c r="E100" s="37"/>
      <c r="F100" s="221">
        <f>G100*$J$27</f>
        <v>22.295999999999999</v>
      </c>
      <c r="G100" s="123" cm="1">
        <f t="array" ref="G100">_xlfn.IFS($C$16+$C$17=1,80,$C$16+$C$17=2,80,$C$16+$C$17=3,160,$C$16+$C$17=4,160,$C$16+$C$17&gt;4,240)</f>
        <v>240</v>
      </c>
      <c r="H100" s="41"/>
      <c r="J100" s="178">
        <v>80</v>
      </c>
      <c r="L100" s="222"/>
      <c r="M100" s="222"/>
      <c r="O100" s="38" t="s">
        <v>184</v>
      </c>
    </row>
    <row r="101" spans="1:15" ht="12.45" customHeight="1" x14ac:dyDescent="0.35">
      <c r="A101" s="65"/>
      <c r="B101" s="168"/>
      <c r="C101" s="136"/>
      <c r="D101" s="69"/>
      <c r="E101" s="37"/>
      <c r="F101" s="94"/>
      <c r="G101" s="137"/>
      <c r="H101" s="41"/>
      <c r="J101" s="107"/>
    </row>
    <row r="102" spans="1:15" ht="12.45" customHeight="1" x14ac:dyDescent="0.35">
      <c r="A102" s="65"/>
      <c r="B102" s="80" t="str">
        <f>IF($G$34=0,,"Based on no. of Companies entered above, the Fitness Room is sized:")</f>
        <v>Based on no. of Companies entered above, the Fitness Room is sized:</v>
      </c>
      <c r="C102" s="136"/>
      <c r="D102" s="69"/>
      <c r="E102" s="37"/>
      <c r="F102" s="221">
        <f>G102*$J$27</f>
        <v>40.597299999999997</v>
      </c>
      <c r="G102" s="182">
        <f>IF($G$34=0,,J102)</f>
        <v>437</v>
      </c>
      <c r="H102" s="41"/>
      <c r="J102" s="107">
        <v>437</v>
      </c>
      <c r="L102" s="222"/>
      <c r="M102" s="222"/>
    </row>
    <row r="103" spans="1:15" ht="12.45" customHeight="1" x14ac:dyDescent="0.35">
      <c r="A103" s="65"/>
      <c r="B103" s="168"/>
      <c r="C103" s="136"/>
      <c r="D103" s="69"/>
      <c r="E103" s="37"/>
      <c r="F103" s="94"/>
      <c r="G103" s="137"/>
      <c r="H103" s="41"/>
      <c r="J103" s="107"/>
    </row>
    <row r="104" spans="1:15" ht="12.45" customHeight="1" x14ac:dyDescent="0.35">
      <c r="A104" s="65"/>
      <c r="B104" s="80" t="str">
        <f>IF($G$34=0,,"Based on no. of Companies entered above, the Vending Area is sized:")</f>
        <v>Based on no. of Companies entered above, the Vending Area is sized:</v>
      </c>
      <c r="C104" s="136"/>
      <c r="D104" s="69"/>
      <c r="E104" s="37"/>
      <c r="F104" s="221">
        <f>G104*$J$27</f>
        <v>7.4319999999999995</v>
      </c>
      <c r="G104" s="123" cm="1">
        <f t="array" ref="G104">_xlfn.IFS($C$16+$C$17=1,40,$C$16+$C$17=2,40,$C$16+$C$17=3,60,$C$16+$C$17=4,60,$C$16+$C$17&gt;4,80)</f>
        <v>80</v>
      </c>
      <c r="H104" s="41"/>
      <c r="J104" s="178" t="s">
        <v>185</v>
      </c>
      <c r="L104" s="222"/>
      <c r="M104" s="222"/>
      <c r="O104" s="447" t="s">
        <v>186</v>
      </c>
    </row>
    <row r="105" spans="1:15" ht="12.45" customHeight="1" x14ac:dyDescent="0.35">
      <c r="A105" s="65"/>
      <c r="B105" s="168"/>
      <c r="C105" s="136"/>
      <c r="D105" s="69"/>
      <c r="E105" s="37"/>
      <c r="F105" s="94"/>
      <c r="G105" s="137"/>
      <c r="H105" s="41"/>
      <c r="J105" s="107"/>
      <c r="O105" s="447"/>
    </row>
    <row r="106" spans="1:15" ht="12.45" customHeight="1" x14ac:dyDescent="0.35">
      <c r="A106" s="65"/>
      <c r="B106" s="80" t="str">
        <f>IF($G$34=0,,"Select Physical Therepy/Sauna (yes or no)")</f>
        <v>Select Physical Therepy/Sauna (yes or no)</v>
      </c>
      <c r="C106" s="68" t="s">
        <v>169</v>
      </c>
      <c r="D106" s="69"/>
      <c r="E106" s="37"/>
      <c r="F106" s="221">
        <f>G106*$J$27</f>
        <v>18.579999999999998</v>
      </c>
      <c r="G106" s="176">
        <f>IF($G$34=0,,IF(C106="Yes",J106,))</f>
        <v>200</v>
      </c>
      <c r="H106" s="41"/>
      <c r="J106" s="107">
        <v>200</v>
      </c>
      <c r="L106" s="222"/>
      <c r="M106" s="222"/>
    </row>
    <row r="107" spans="1:15" ht="12.45" customHeight="1" x14ac:dyDescent="0.35">
      <c r="A107" s="65"/>
      <c r="B107" s="168"/>
      <c r="C107" s="136"/>
      <c r="D107" s="69"/>
      <c r="E107" s="37"/>
      <c r="F107" s="94"/>
      <c r="G107" s="137"/>
      <c r="H107" s="41"/>
      <c r="J107" s="107"/>
    </row>
    <row r="108" spans="1:15" ht="12.45" customHeight="1" x14ac:dyDescent="0.35">
      <c r="A108" s="65"/>
      <c r="B108" s="80" t="str">
        <f>IF($G$34=0,,"Select Recreation Room (yes or no)")</f>
        <v>Select Recreation Room (yes or no)</v>
      </c>
      <c r="C108" s="68" t="s">
        <v>169</v>
      </c>
      <c r="D108" s="69"/>
      <c r="E108" s="37"/>
      <c r="F108" s="221">
        <f>G108*$J$27</f>
        <v>33.443999999999996</v>
      </c>
      <c r="G108" s="176">
        <f>IF($G$34=0,,IF(C108="Yes",J108,))</f>
        <v>360</v>
      </c>
      <c r="H108" s="41"/>
      <c r="J108" s="107">
        <v>360</v>
      </c>
      <c r="L108" s="222"/>
      <c r="M108" s="222"/>
    </row>
    <row r="109" spans="1:15" ht="12.45" customHeight="1" x14ac:dyDescent="0.35">
      <c r="A109" s="138"/>
      <c r="B109" s="139"/>
      <c r="C109" s="140"/>
      <c r="D109" s="132"/>
      <c r="E109" s="62"/>
      <c r="F109" s="141"/>
      <c r="G109" s="142"/>
      <c r="J109" s="107"/>
    </row>
    <row r="110" spans="1:15" ht="5.15" customHeight="1" x14ac:dyDescent="0.35">
      <c r="A110" s="65"/>
      <c r="B110" s="168"/>
      <c r="C110" s="136"/>
      <c r="D110" s="76"/>
      <c r="E110" s="37"/>
      <c r="F110" s="143"/>
      <c r="G110" s="144"/>
      <c r="J110" s="107"/>
    </row>
    <row r="111" spans="1:15" ht="12.45" customHeight="1" x14ac:dyDescent="0.35">
      <c r="A111" s="66" t="str">
        <f>"Training and Administrative Area"</f>
        <v>Training and Administrative Area</v>
      </c>
      <c r="B111" s="168"/>
      <c r="C111" s="136"/>
      <c r="D111" s="76"/>
      <c r="E111" s="37"/>
      <c r="F111" s="143"/>
      <c r="G111" s="144"/>
      <c r="J111" s="107"/>
    </row>
    <row r="112" spans="1:15" ht="12.45" customHeight="1" x14ac:dyDescent="0.35">
      <c r="A112" s="65"/>
      <c r="B112" s="168"/>
      <c r="C112" s="136"/>
      <c r="D112" s="76"/>
      <c r="E112" s="37"/>
      <c r="F112" s="111" t="s">
        <v>177</v>
      </c>
      <c r="G112" s="112" t="s">
        <v>178</v>
      </c>
      <c r="J112" s="107"/>
    </row>
    <row r="113" spans="1:13" ht="12.45" customHeight="1" x14ac:dyDescent="0.35">
      <c r="A113" s="65"/>
      <c r="B113" s="183" t="s">
        <v>187</v>
      </c>
      <c r="C113" s="136"/>
      <c r="D113" s="76"/>
      <c r="E113" s="37"/>
      <c r="F113" s="221">
        <f>G113*$J$27</f>
        <v>6.0385</v>
      </c>
      <c r="G113" s="176">
        <f>IF($G$34=0,,J113)</f>
        <v>65</v>
      </c>
      <c r="J113" s="107">
        <v>65</v>
      </c>
      <c r="L113" s="222"/>
      <c r="M113" s="222"/>
    </row>
    <row r="114" spans="1:13" ht="12.45" customHeight="1" x14ac:dyDescent="0.35">
      <c r="A114" s="65"/>
      <c r="B114" s="80"/>
      <c r="C114" s="136"/>
      <c r="D114" s="76"/>
      <c r="E114" s="37"/>
      <c r="F114" s="70"/>
      <c r="G114" s="77"/>
      <c r="J114" s="107"/>
      <c r="L114" s="127"/>
      <c r="M114" s="127"/>
    </row>
    <row r="115" spans="1:13" ht="12.45" customHeight="1" x14ac:dyDescent="0.35">
      <c r="A115" s="65"/>
      <c r="B115" s="184" t="s">
        <v>188</v>
      </c>
      <c r="C115" s="114"/>
      <c r="D115" s="69"/>
      <c r="E115" s="145"/>
      <c r="F115" s="221">
        <f>G115*$J$27</f>
        <v>9.2899999999999991</v>
      </c>
      <c r="G115" s="116">
        <f>IF($C$11="Satellite",IF(L116=TRUE,J115,0),IF(M116=TRUE,,J115))</f>
        <v>100</v>
      </c>
      <c r="J115" s="124">
        <v>100</v>
      </c>
      <c r="L115" s="222"/>
      <c r="M115" s="222"/>
    </row>
    <row r="116" spans="1:13" ht="12.45" customHeight="1" x14ac:dyDescent="0.3">
      <c r="A116" s="65"/>
      <c r="B116" s="179" t="str">
        <f>IF($G$34=0,"",IF($C$11="Satellite","&lt; Check here to add Fire Chief's Office in this Satellite station.",""))</f>
        <v/>
      </c>
      <c r="C116" s="126"/>
      <c r="D116" s="37"/>
      <c r="E116" s="146"/>
      <c r="F116" s="146"/>
      <c r="G116" s="291" t="str">
        <f>IF($G$34=0,"",IF($G$115&gt;0,"Check here to delete Fire Chief's Office in this HQ station. &gt;",""))</f>
        <v>Check here to delete Fire Chief's Office in this HQ station. &gt;</v>
      </c>
      <c r="J116" s="107"/>
      <c r="L116" s="216" t="b">
        <v>0</v>
      </c>
      <c r="M116" s="216" t="b">
        <v>0</v>
      </c>
    </row>
    <row r="117" spans="1:13" ht="12.45" customHeight="1" x14ac:dyDescent="0.3">
      <c r="A117" s="65"/>
      <c r="B117" s="147"/>
      <c r="C117" s="126"/>
      <c r="D117" s="37"/>
      <c r="E117" s="145"/>
      <c r="F117" s="145"/>
      <c r="G117" s="148"/>
      <c r="J117" s="107"/>
      <c r="L117" s="292"/>
      <c r="M117" s="292"/>
    </row>
    <row r="118" spans="1:13" ht="12.45" customHeight="1" x14ac:dyDescent="0.35">
      <c r="A118" s="65"/>
      <c r="B118" s="183" t="s">
        <v>189</v>
      </c>
      <c r="C118" s="68" t="s">
        <v>169</v>
      </c>
      <c r="D118" s="69"/>
      <c r="E118" s="145"/>
      <c r="F118" s="221">
        <f>G118*$J$27</f>
        <v>9.2899999999999991</v>
      </c>
      <c r="G118" s="176">
        <f>IF(C118="Yes",100,0)</f>
        <v>100</v>
      </c>
      <c r="J118" s="124"/>
      <c r="L118" s="222"/>
      <c r="M118" s="222"/>
    </row>
    <row r="119" spans="1:13" ht="12.45" customHeight="1" x14ac:dyDescent="0.3">
      <c r="A119" s="65"/>
      <c r="B119" s="145"/>
      <c r="C119" s="145"/>
      <c r="D119" s="145"/>
      <c r="E119" s="145"/>
      <c r="F119" s="145"/>
      <c r="G119" s="144"/>
      <c r="J119" s="107"/>
    </row>
    <row r="120" spans="1:13" ht="12.45" customHeight="1" x14ac:dyDescent="0.35">
      <c r="A120" s="65"/>
      <c r="B120" s="184" t="s">
        <v>190</v>
      </c>
      <c r="C120" s="114"/>
      <c r="D120" s="69"/>
      <c r="E120" s="145"/>
      <c r="F120" s="221">
        <f>G120*$J$27</f>
        <v>9.2899999999999991</v>
      </c>
      <c r="G120" s="116">
        <f>IF($G$115&gt;0,IF(M121=TRUE,0,J120),IF(L121=TRUE,J120,))</f>
        <v>100</v>
      </c>
      <c r="J120" s="177">
        <v>100</v>
      </c>
      <c r="L120" s="222"/>
      <c r="M120" s="222"/>
    </row>
    <row r="121" spans="1:13" ht="12.45" customHeight="1" x14ac:dyDescent="0.3">
      <c r="A121" s="65"/>
      <c r="B121" s="185" t="str">
        <f>IF($G$34=0,"",IF($G$115&gt;0,"","&lt; Check here to add Lobby Area in this station."))</f>
        <v/>
      </c>
      <c r="C121" s="126"/>
      <c r="D121" s="37"/>
      <c r="E121" s="145"/>
      <c r="F121" s="145"/>
      <c r="G121" s="293" t="str">
        <f>IF($G$34=0,"",IF($G$115&gt;0,"Check here to delete Lobby Area in this HQ station. &gt;",""))</f>
        <v>Check here to delete Lobby Area in this HQ station. &gt;</v>
      </c>
      <c r="J121" s="107"/>
      <c r="L121" s="222" t="b">
        <v>0</v>
      </c>
      <c r="M121" s="222" t="b">
        <v>0</v>
      </c>
    </row>
    <row r="122" spans="1:13" ht="12.45" customHeight="1" x14ac:dyDescent="0.3">
      <c r="A122" s="65"/>
      <c r="B122" s="145"/>
      <c r="C122" s="145"/>
      <c r="D122" s="145"/>
      <c r="E122" s="145"/>
      <c r="F122" s="145"/>
      <c r="G122" s="144"/>
      <c r="J122" s="107"/>
    </row>
    <row r="123" spans="1:13" ht="12.45" customHeight="1" x14ac:dyDescent="0.35">
      <c r="A123" s="65"/>
      <c r="B123" s="183" t="s">
        <v>191</v>
      </c>
      <c r="C123" s="145"/>
      <c r="D123" s="145"/>
      <c r="E123" s="145"/>
      <c r="F123" s="221">
        <f>G123*$J$27</f>
        <v>4.1804999999999994</v>
      </c>
      <c r="G123" s="176">
        <v>45</v>
      </c>
      <c r="J123" s="107"/>
      <c r="L123" s="222"/>
      <c r="M123" s="222"/>
    </row>
    <row r="124" spans="1:13" ht="12.45" customHeight="1" x14ac:dyDescent="0.3">
      <c r="A124" s="65"/>
      <c r="B124" s="145"/>
      <c r="C124" s="145"/>
      <c r="D124" s="145"/>
      <c r="E124" s="145"/>
      <c r="F124" s="145"/>
      <c r="G124" s="144"/>
      <c r="J124" s="107"/>
    </row>
    <row r="125" spans="1:13" ht="12.45" customHeight="1" x14ac:dyDescent="0.35">
      <c r="A125" s="65"/>
      <c r="B125" s="184" t="s">
        <v>192</v>
      </c>
      <c r="C125" s="114"/>
      <c r="D125" s="69"/>
      <c r="E125" s="145"/>
      <c r="F125" s="221">
        <f>G125*$J$27</f>
        <v>5.9455999999999998</v>
      </c>
      <c r="G125" s="116">
        <f>IF($G$115&gt;0,IF(M126=TRUE,0,J125),IF(L126=TRUE,J125,))</f>
        <v>64</v>
      </c>
      <c r="J125" s="177">
        <v>64</v>
      </c>
      <c r="L125" s="222"/>
      <c r="M125" s="222"/>
    </row>
    <row r="126" spans="1:13" ht="12.45" customHeight="1" x14ac:dyDescent="0.3">
      <c r="A126" s="65"/>
      <c r="B126" s="185" t="str">
        <f>IF($G$34=0,"",IF($G$115&gt;0,"","&lt; Check here to add Admin Asst. in this station."))</f>
        <v/>
      </c>
      <c r="C126" s="126"/>
      <c r="D126" s="37"/>
      <c r="E126" s="145"/>
      <c r="F126" s="145"/>
      <c r="G126" s="293" t="str">
        <f>IF($G$34=0,"",IF($G$115&gt;0,"Check here to delete Admin. Asst. in this HQ station. &gt;",""))</f>
        <v>Check here to delete Admin. Asst. in this HQ station. &gt;</v>
      </c>
      <c r="J126" s="107"/>
      <c r="L126" s="222" t="b">
        <v>0</v>
      </c>
      <c r="M126" s="222" t="b">
        <v>0</v>
      </c>
    </row>
    <row r="127" spans="1:13" ht="12.45" customHeight="1" x14ac:dyDescent="0.3">
      <c r="A127" s="65"/>
      <c r="B127" s="145"/>
      <c r="C127" s="145"/>
      <c r="D127" s="145"/>
      <c r="E127" s="145"/>
      <c r="F127" s="145"/>
      <c r="G127" s="144"/>
      <c r="J127" s="107"/>
    </row>
    <row r="128" spans="1:13" ht="12.45" customHeight="1" x14ac:dyDescent="0.35">
      <c r="A128" s="65"/>
      <c r="B128" s="184" t="s">
        <v>193</v>
      </c>
      <c r="C128" s="114"/>
      <c r="D128" s="69"/>
      <c r="E128" s="145"/>
      <c r="F128" s="221">
        <f>G128*$J$27</f>
        <v>9.2899999999999991</v>
      </c>
      <c r="G128" s="116">
        <f>IF($G$115&gt;0,IF(M129=TRUE,0,J128),IF(L129=TRUE,J128,))</f>
        <v>100</v>
      </c>
      <c r="J128" s="124">
        <v>100</v>
      </c>
      <c r="L128" s="222"/>
      <c r="M128" s="222"/>
    </row>
    <row r="129" spans="1:15" ht="12.45" customHeight="1" x14ac:dyDescent="0.3">
      <c r="A129" s="65"/>
      <c r="B129" s="185" t="str">
        <f>IF($G$34=0,"",IF($G$115&gt;0,"","&lt; Check here to add Chief's Conf Room in this station."))</f>
        <v/>
      </c>
      <c r="C129" s="126"/>
      <c r="D129" s="37"/>
      <c r="E129" s="145"/>
      <c r="F129" s="145"/>
      <c r="G129" s="293" t="str">
        <f>IF($G$34=0,"",IF($G$115&gt;0,"Check here to delete Chief's Conf. Room in this HQ station. &gt;",""))</f>
        <v>Check here to delete Chief's Conf. Room in this HQ station. &gt;</v>
      </c>
      <c r="J129" s="107"/>
      <c r="L129" s="222" t="b">
        <v>0</v>
      </c>
      <c r="M129" s="222" t="b">
        <v>0</v>
      </c>
    </row>
    <row r="130" spans="1:15" ht="12.45" customHeight="1" x14ac:dyDescent="0.3">
      <c r="A130" s="65"/>
      <c r="B130" s="145"/>
      <c r="C130" s="145"/>
      <c r="D130" s="145"/>
      <c r="E130" s="145"/>
      <c r="F130" s="145"/>
      <c r="G130" s="144"/>
      <c r="J130" s="107"/>
    </row>
    <row r="131" spans="1:15" ht="12.45" customHeight="1" x14ac:dyDescent="0.35">
      <c r="A131" s="65"/>
      <c r="B131" s="183" t="s">
        <v>194</v>
      </c>
      <c r="C131" s="68" t="s">
        <v>169</v>
      </c>
      <c r="D131" s="69"/>
      <c r="E131" s="37"/>
      <c r="F131" s="221">
        <f>G131*$J$27</f>
        <v>9.2899999999999991</v>
      </c>
      <c r="G131" s="176">
        <f>IF(C131="Yes",100,0)</f>
        <v>100</v>
      </c>
      <c r="H131" s="41"/>
      <c r="J131" s="107"/>
      <c r="L131" s="222"/>
      <c r="M131" s="222"/>
    </row>
    <row r="132" spans="1:15" ht="12.65" customHeight="1" x14ac:dyDescent="0.3">
      <c r="A132" s="65"/>
      <c r="B132" s="443" t="str">
        <f>IF($G$34=0,"",IF(C11="Satellite","* Note: This is usually only provided in HQ stations.",""))</f>
        <v/>
      </c>
      <c r="C132" s="443"/>
      <c r="D132" s="145"/>
      <c r="E132" s="145"/>
      <c r="F132" s="145"/>
      <c r="G132" s="144"/>
      <c r="J132" s="107"/>
    </row>
    <row r="133" spans="1:15" ht="12.45" customHeight="1" x14ac:dyDescent="0.35">
      <c r="A133" s="65"/>
      <c r="B133" s="183" t="s">
        <v>195</v>
      </c>
      <c r="C133" s="68" t="s">
        <v>169</v>
      </c>
      <c r="D133" s="69"/>
      <c r="E133" s="37"/>
      <c r="F133" s="221">
        <f>G133*$J$27</f>
        <v>9.2899999999999991</v>
      </c>
      <c r="G133" s="176">
        <f>IF(C133="Yes",100,0)</f>
        <v>100</v>
      </c>
      <c r="H133" s="41"/>
      <c r="J133" s="107"/>
      <c r="L133" s="222"/>
      <c r="M133" s="222"/>
    </row>
    <row r="134" spans="1:15" ht="12.45" customHeight="1" x14ac:dyDescent="0.3">
      <c r="A134" s="65"/>
      <c r="B134" s="443" t="str">
        <f>IF($G$34=0,"",IF($C$11="Satellite","* Note: This is usually only provided in HQ stations.",""))</f>
        <v/>
      </c>
      <c r="C134" s="443"/>
      <c r="D134" s="145"/>
      <c r="E134" s="145"/>
      <c r="F134" s="145"/>
      <c r="G134" s="144"/>
      <c r="J134" s="107"/>
    </row>
    <row r="135" spans="1:15" ht="12.45" customHeight="1" x14ac:dyDescent="0.35">
      <c r="A135" s="65"/>
      <c r="B135" s="183" t="s">
        <v>196</v>
      </c>
      <c r="C135" s="131">
        <v>1</v>
      </c>
      <c r="D135" s="69"/>
      <c r="E135" s="37"/>
      <c r="F135" s="221">
        <f>G135*$J$27</f>
        <v>3.3443999999999998</v>
      </c>
      <c r="G135" s="176">
        <f>SUM(C135*36)</f>
        <v>36</v>
      </c>
      <c r="H135" s="41"/>
      <c r="J135" s="107"/>
      <c r="L135" s="222"/>
      <c r="M135" s="222"/>
      <c r="O135" s="38" t="s">
        <v>197</v>
      </c>
    </row>
    <row r="136" spans="1:15" ht="25.4" customHeight="1" x14ac:dyDescent="0.35">
      <c r="A136" s="65"/>
      <c r="B136" s="443" t="str">
        <f>IF($G$34=0,,IF($C$11="Satellite","* Note: This is usually only provided in HQ stations. If required at this Satellite station, enter the no. of workstations desired.","* If required, enter the no. of workstations desired at this station."))</f>
        <v>* If required, enter the no. of workstations desired at this station.</v>
      </c>
      <c r="C136" s="443"/>
      <c r="D136" s="76"/>
      <c r="E136" s="37"/>
      <c r="F136" s="62"/>
      <c r="G136" s="128"/>
      <c r="H136" s="41"/>
      <c r="J136" s="107"/>
    </row>
    <row r="137" spans="1:15" ht="12.45" customHeight="1" x14ac:dyDescent="0.35">
      <c r="A137" s="65"/>
      <c r="B137" s="183" t="s">
        <v>198</v>
      </c>
      <c r="C137" s="68" t="s">
        <v>169</v>
      </c>
      <c r="D137" s="69"/>
      <c r="E137" s="37"/>
      <c r="F137" s="221">
        <f>G137*$J$27</f>
        <v>7.4319999999999995</v>
      </c>
      <c r="G137" s="176">
        <f>IF(C137="Yes",80,0)</f>
        <v>80</v>
      </c>
      <c r="H137" s="41"/>
      <c r="J137" s="107"/>
      <c r="L137" s="222"/>
      <c r="M137" s="222"/>
    </row>
    <row r="138" spans="1:15" ht="12.45" customHeight="1" x14ac:dyDescent="0.3">
      <c r="A138" s="65"/>
      <c r="B138" s="443"/>
      <c r="C138" s="443"/>
      <c r="D138" s="145"/>
      <c r="E138" s="145"/>
      <c r="F138" s="145"/>
      <c r="G138" s="144"/>
      <c r="J138" s="107"/>
    </row>
    <row r="139" spans="1:15" ht="12.45" customHeight="1" x14ac:dyDescent="0.35">
      <c r="A139" s="65"/>
      <c r="B139" s="183" t="s">
        <v>199</v>
      </c>
      <c r="C139" s="68" t="s">
        <v>169</v>
      </c>
      <c r="D139" s="69"/>
      <c r="E139" s="37"/>
      <c r="F139" s="221">
        <f>G139*$J$27</f>
        <v>9.2899999999999991</v>
      </c>
      <c r="G139" s="176">
        <f>IF(C139="Yes",100,0)</f>
        <v>100</v>
      </c>
      <c r="H139" s="41"/>
      <c r="J139" s="107"/>
      <c r="L139" s="222"/>
      <c r="M139" s="222"/>
    </row>
    <row r="140" spans="1:15" ht="12.45" customHeight="1" x14ac:dyDescent="0.3">
      <c r="A140" s="65"/>
      <c r="B140" s="443" t="str">
        <f>IF($G$34=0,"",IF($C$11="Satellite","* Note: This is usually only provided in HQ stations.",""))</f>
        <v/>
      </c>
      <c r="C140" s="443"/>
      <c r="D140" s="145"/>
      <c r="E140" s="145"/>
      <c r="F140" s="145"/>
      <c r="G140" s="144"/>
      <c r="J140" s="107"/>
    </row>
    <row r="141" spans="1:15" ht="12.45" customHeight="1" x14ac:dyDescent="0.35">
      <c r="A141" s="65"/>
      <c r="B141" s="183" t="s">
        <v>200</v>
      </c>
      <c r="C141" s="68" t="s">
        <v>169</v>
      </c>
      <c r="D141" s="69"/>
      <c r="E141" s="37"/>
      <c r="F141" s="221">
        <f>G141*$J$27</f>
        <v>5.9455999999999998</v>
      </c>
      <c r="G141" s="176">
        <f>IF(C141="Yes",64,0)</f>
        <v>64</v>
      </c>
      <c r="H141" s="41"/>
      <c r="J141" s="107"/>
      <c r="L141" s="222"/>
      <c r="M141" s="222"/>
    </row>
    <row r="142" spans="1:15" ht="12.45" customHeight="1" x14ac:dyDescent="0.3">
      <c r="A142" s="65"/>
      <c r="B142" s="443" t="str">
        <f>IF($G$34=0,"",IF($C$11="Satellite","* Note: This is usually only provided in HQ stations.",""))</f>
        <v/>
      </c>
      <c r="C142" s="443"/>
      <c r="D142" s="145"/>
      <c r="E142" s="145"/>
      <c r="F142" s="145"/>
      <c r="G142" s="144"/>
      <c r="J142" s="107"/>
    </row>
    <row r="143" spans="1:15" ht="12.45" customHeight="1" x14ac:dyDescent="0.35">
      <c r="A143" s="65"/>
      <c r="B143" s="183" t="s">
        <v>201</v>
      </c>
      <c r="C143" s="68" t="s">
        <v>169</v>
      </c>
      <c r="D143" s="69"/>
      <c r="E143" s="37"/>
      <c r="F143" s="221">
        <f>G143*$J$27</f>
        <v>9.2899999999999991</v>
      </c>
      <c r="G143" s="176">
        <f>IF(C143="Yes",100,0)</f>
        <v>100</v>
      </c>
      <c r="H143" s="41"/>
      <c r="J143" s="107"/>
      <c r="L143" s="222"/>
      <c r="M143" s="222"/>
    </row>
    <row r="144" spans="1:15" ht="25.4" customHeight="1" x14ac:dyDescent="0.3">
      <c r="A144" s="65"/>
      <c r="B144" s="444"/>
      <c r="C144" s="443"/>
      <c r="D144" s="145"/>
      <c r="E144" s="145"/>
      <c r="F144" s="145"/>
      <c r="G144" s="144"/>
      <c r="J144" s="107"/>
    </row>
    <row r="145" spans="1:15" ht="12.45" customHeight="1" x14ac:dyDescent="0.35">
      <c r="A145" s="65"/>
      <c r="B145" s="183" t="s">
        <v>202</v>
      </c>
      <c r="C145" s="131">
        <v>30</v>
      </c>
      <c r="D145" s="69"/>
      <c r="E145" s="37"/>
      <c r="F145" s="221">
        <f>G145*$J$27</f>
        <v>2.6012</v>
      </c>
      <c r="G145" s="303">
        <v>28</v>
      </c>
      <c r="H145" s="41"/>
      <c r="J145" s="107"/>
      <c r="L145" s="222"/>
      <c r="M145" s="222"/>
      <c r="O145" s="38" t="s">
        <v>3683</v>
      </c>
    </row>
    <row r="146" spans="1:15" ht="37" customHeight="1" x14ac:dyDescent="0.35">
      <c r="A146" s="65"/>
      <c r="B146" s="443" t="str">
        <f>IF($G$34=0,,IF($C$11="Satellite","* Note: This is usually only provided in HQ stations. If required at this Satellite station, enter the no. of people to be accommodated/trained (typically this no. is the total on-duty Department staff).","* If required, enter the no. of people to be accommodated/trained (typically this no. is the total on-duty Department staff)."))</f>
        <v>* If required, enter the no. of people to be accommodated/trained (typically this no. is the total on-duty Department staff).</v>
      </c>
      <c r="C146" s="443"/>
      <c r="D146" s="76"/>
      <c r="E146" s="37"/>
      <c r="F146" s="62"/>
      <c r="G146" s="128"/>
      <c r="H146" s="41"/>
      <c r="J146" s="107"/>
    </row>
    <row r="147" spans="1:15" ht="12.45" customHeight="1" x14ac:dyDescent="0.35">
      <c r="A147" s="65"/>
      <c r="B147" s="186" t="s">
        <v>203</v>
      </c>
      <c r="C147" s="130"/>
      <c r="D147" s="76"/>
      <c r="E147" s="37"/>
      <c r="F147" s="221">
        <f>G147*$J$27</f>
        <v>7.4319999999999995</v>
      </c>
      <c r="G147" s="304">
        <v>80</v>
      </c>
      <c r="H147" s="41"/>
      <c r="J147" s="107"/>
      <c r="L147" s="216"/>
      <c r="M147" s="216"/>
    </row>
    <row r="148" spans="1:15" ht="12.45" customHeight="1" x14ac:dyDescent="0.3">
      <c r="A148" s="65"/>
      <c r="B148" s="167"/>
      <c r="C148" s="167"/>
      <c r="D148" s="145"/>
      <c r="E148" s="145"/>
      <c r="F148" s="145"/>
      <c r="G148" s="144"/>
      <c r="J148" s="107"/>
    </row>
    <row r="149" spans="1:15" ht="12.45" customHeight="1" x14ac:dyDescent="0.35">
      <c r="A149" s="65"/>
      <c r="B149" s="183" t="s">
        <v>204</v>
      </c>
      <c r="C149" s="136"/>
      <c r="D149" s="76"/>
      <c r="E149" s="37"/>
      <c r="F149" s="221">
        <f>G149*$J$27</f>
        <v>9.2899999999999991</v>
      </c>
      <c r="G149" s="135" cm="1">
        <f t="array" ref="G149">IF($G$34=0,0,(IF(M150=TRUE,0,(_xlfn.IFS(C11="HQ/Main",100,C11="Large HQ",100,C11="Satellite",67)))))</f>
        <v>100</v>
      </c>
      <c r="J149" s="124">
        <v>100</v>
      </c>
      <c r="L149" s="222"/>
      <c r="M149" s="222"/>
      <c r="O149" s="38" t="s">
        <v>205</v>
      </c>
    </row>
    <row r="150" spans="1:15" ht="12.45" customHeight="1" x14ac:dyDescent="0.35">
      <c r="A150" s="65"/>
      <c r="B150" s="168"/>
      <c r="C150" s="136"/>
      <c r="D150" s="76"/>
      <c r="E150" s="37"/>
      <c r="F150" s="143"/>
      <c r="G150" s="293" t="s">
        <v>206</v>
      </c>
      <c r="J150" s="107"/>
      <c r="M150" s="216" t="b">
        <v>0</v>
      </c>
    </row>
    <row r="151" spans="1:15" ht="12.45" customHeight="1" x14ac:dyDescent="0.3">
      <c r="A151" s="65"/>
      <c r="B151" s="167"/>
      <c r="C151" s="167"/>
      <c r="D151" s="145"/>
      <c r="E151" s="145"/>
      <c r="F151" s="145"/>
      <c r="G151" s="144"/>
      <c r="J151" s="107"/>
    </row>
    <row r="152" spans="1:15" ht="12.45" customHeight="1" x14ac:dyDescent="0.35">
      <c r="A152" s="65"/>
      <c r="B152" s="183" t="s">
        <v>207</v>
      </c>
      <c r="C152" s="136"/>
      <c r="D152" s="76"/>
      <c r="E152" s="37"/>
      <c r="F152" s="221">
        <f>G152*$J$27</f>
        <v>7.4319999999999995</v>
      </c>
      <c r="G152" s="176">
        <f>IF($G$34=0,,IF(M153=TRUE,0,J152))</f>
        <v>80</v>
      </c>
      <c r="J152" s="107">
        <v>80</v>
      </c>
      <c r="L152" s="222"/>
      <c r="M152" s="222"/>
    </row>
    <row r="153" spans="1:15" ht="12.45" customHeight="1" x14ac:dyDescent="0.35">
      <c r="A153" s="65"/>
      <c r="B153" s="168"/>
      <c r="C153" s="136"/>
      <c r="D153" s="76"/>
      <c r="E153" s="37"/>
      <c r="F153" s="143"/>
      <c r="G153" s="293" t="s">
        <v>208</v>
      </c>
      <c r="J153" s="107"/>
      <c r="M153" s="216" t="b">
        <v>0</v>
      </c>
    </row>
    <row r="154" spans="1:15" ht="12.45" customHeight="1" x14ac:dyDescent="0.35">
      <c r="A154" s="65"/>
      <c r="B154" s="168"/>
      <c r="C154" s="136"/>
      <c r="D154" s="76"/>
      <c r="E154" s="37"/>
      <c r="F154" s="143"/>
      <c r="G154" s="148"/>
      <c r="J154" s="107"/>
    </row>
    <row r="155" spans="1:15" ht="12.45" customHeight="1" x14ac:dyDescent="0.35">
      <c r="A155" s="65"/>
      <c r="B155" s="183" t="s">
        <v>209</v>
      </c>
      <c r="C155" s="136"/>
      <c r="D155" s="76"/>
      <c r="E155" s="37"/>
      <c r="F155" s="221">
        <f>G155*$J$27</f>
        <v>1.8579999999999999</v>
      </c>
      <c r="G155" s="176">
        <f>IF($G$34=0,,J155)</f>
        <v>20</v>
      </c>
      <c r="J155" s="107">
        <v>20</v>
      </c>
      <c r="L155" s="222"/>
      <c r="M155" s="222"/>
    </row>
    <row r="156" spans="1:15" ht="12.45" customHeight="1" x14ac:dyDescent="0.3">
      <c r="A156" s="65"/>
      <c r="B156" s="167"/>
      <c r="C156" s="167"/>
      <c r="D156" s="145"/>
      <c r="E156" s="145"/>
      <c r="F156" s="145"/>
      <c r="G156" s="144"/>
      <c r="J156" s="107"/>
    </row>
    <row r="157" spans="1:15" ht="12.45" customHeight="1" x14ac:dyDescent="0.35">
      <c r="A157" s="65"/>
      <c r="B157" s="183" t="s">
        <v>210</v>
      </c>
      <c r="C157" s="68" t="s">
        <v>169</v>
      </c>
      <c r="D157" s="69"/>
      <c r="E157" s="37"/>
      <c r="F157" s="221">
        <f>G157*$J$27</f>
        <v>29.727999999999998</v>
      </c>
      <c r="G157" s="176">
        <f>IF($G$34=0,,IF(C157="Yes",J157,))</f>
        <v>320</v>
      </c>
      <c r="H157" s="41"/>
      <c r="J157" s="107">
        <v>320</v>
      </c>
      <c r="L157" s="222"/>
      <c r="M157" s="222"/>
    </row>
    <row r="158" spans="1:15" ht="25.4" customHeight="1" x14ac:dyDescent="0.3">
      <c r="A158" s="65"/>
      <c r="B158" s="443" t="str">
        <f>IF($G$34=0,,"* Note: This is usually only provided in HQ stations that are consolidated with Police/ Security and Emergency Medical Services (EMS).")</f>
        <v>* Note: This is usually only provided in HQ stations that are consolidated with Police/ Security and Emergency Medical Services (EMS).</v>
      </c>
      <c r="C158" s="443"/>
      <c r="D158" s="145"/>
      <c r="E158" s="145"/>
      <c r="F158" s="145"/>
      <c r="G158" s="144"/>
      <c r="J158" s="107"/>
    </row>
    <row r="159" spans="1:15" ht="12.65" customHeight="1" x14ac:dyDescent="0.35">
      <c r="A159" s="65"/>
      <c r="B159" s="183" t="s">
        <v>211</v>
      </c>
      <c r="C159" s="68">
        <v>0</v>
      </c>
      <c r="D159" s="69"/>
      <c r="E159" s="37"/>
      <c r="F159" s="221">
        <f>G159*$J$27</f>
        <v>0</v>
      </c>
      <c r="G159" s="176">
        <f>IF($G$34=0,,IF($C$5="Air Force",(C159*J159),))</f>
        <v>0</v>
      </c>
      <c r="H159" s="41"/>
      <c r="J159" s="107">
        <v>30</v>
      </c>
      <c r="L159" s="222"/>
      <c r="M159" s="222"/>
      <c r="O159" s="38" t="s">
        <v>212</v>
      </c>
    </row>
    <row r="160" spans="1:15" ht="12.65" customHeight="1" x14ac:dyDescent="0.3">
      <c r="A160" s="65"/>
      <c r="B160" s="167"/>
      <c r="C160" s="167"/>
      <c r="D160" s="171"/>
      <c r="E160" s="37"/>
      <c r="F160" s="294"/>
      <c r="G160" s="295"/>
      <c r="H160" s="41"/>
      <c r="J160" s="107"/>
      <c r="L160" s="127"/>
      <c r="M160" s="127"/>
    </row>
    <row r="161" spans="1:15" ht="12.65" customHeight="1" x14ac:dyDescent="0.35">
      <c r="A161" s="65"/>
      <c r="B161" s="80" t="str">
        <f>IF($G$34=0,,IF($C$5="Air Force","Select Reserve &amp; Active Duty Mob./Depl. Gear Storage:","Air Force-only."))</f>
        <v>Select Reserve &amp; Active Duty Mob./Depl. Gear Storage:</v>
      </c>
      <c r="C161" s="68" t="s">
        <v>169</v>
      </c>
      <c r="D161" s="69"/>
      <c r="E161" s="37"/>
      <c r="F161" s="221">
        <f>G161*$J$27</f>
        <v>18.579999999999998</v>
      </c>
      <c r="G161" s="176">
        <f>IF($G$34=0,,IF(C161="Yes",J161,))</f>
        <v>200</v>
      </c>
      <c r="H161" s="41"/>
      <c r="J161" s="107">
        <v>200</v>
      </c>
      <c r="L161" s="222"/>
      <c r="M161" s="222"/>
    </row>
    <row r="162" spans="1:15" ht="12.65" customHeight="1" x14ac:dyDescent="0.3">
      <c r="A162" s="65"/>
      <c r="B162" s="167"/>
      <c r="C162" s="167"/>
      <c r="D162" s="171"/>
      <c r="E162" s="37"/>
      <c r="F162" s="294"/>
      <c r="G162" s="295"/>
      <c r="H162" s="41"/>
      <c r="J162" s="107"/>
      <c r="L162" s="127"/>
      <c r="M162" s="127"/>
    </row>
    <row r="163" spans="1:15" ht="12.65" customHeight="1" x14ac:dyDescent="0.35">
      <c r="A163" s="65"/>
      <c r="B163" s="183" t="s">
        <v>213</v>
      </c>
      <c r="C163" s="68" t="s">
        <v>3655</v>
      </c>
      <c r="D163" s="69"/>
      <c r="E163" s="37"/>
      <c r="F163" s="221">
        <f>G163*$J$27</f>
        <v>11.148</v>
      </c>
      <c r="G163" s="182">
        <f>IF($G$34=0,,IF($C$5="Air Force",IF(C163=J163,(10*M163),IF(C163=J164,(10*M164),IF(C163=J165,(10*M165),0)))))</f>
        <v>120</v>
      </c>
      <c r="H163" s="41"/>
      <c r="J163" s="107" t="str">
        <f>""&amp;M163&amp;" Reservists"</f>
        <v>12 Reservists</v>
      </c>
      <c r="L163" s="296"/>
      <c r="M163" s="222">
        <v>12</v>
      </c>
      <c r="O163" s="149"/>
    </row>
    <row r="164" spans="1:15" ht="12.65" customHeight="1" x14ac:dyDescent="0.3">
      <c r="A164" s="65"/>
      <c r="B164" s="167"/>
      <c r="C164" s="167"/>
      <c r="D164" s="171"/>
      <c r="E164" s="37"/>
      <c r="F164" s="294"/>
      <c r="G164" s="295"/>
      <c r="H164" s="41"/>
      <c r="J164" s="107" t="str">
        <f>""&amp;M164&amp;" Reservists"</f>
        <v>24 Reservists</v>
      </c>
      <c r="L164" s="127"/>
      <c r="M164" s="222">
        <v>24</v>
      </c>
      <c r="O164" s="125"/>
    </row>
    <row r="165" spans="1:15" ht="12.65" customHeight="1" x14ac:dyDescent="0.35">
      <c r="A165" s="138"/>
      <c r="B165" s="169"/>
      <c r="C165" s="169"/>
      <c r="D165" s="132"/>
      <c r="E165" s="62"/>
      <c r="F165" s="62"/>
      <c r="G165" s="128"/>
      <c r="H165" s="41"/>
      <c r="J165" s="107" t="str">
        <f>""&amp;M165&amp;" Reservists"</f>
        <v>36 Reservists</v>
      </c>
      <c r="M165" s="216">
        <v>36</v>
      </c>
    </row>
    <row r="166" spans="1:15" ht="5.15" customHeight="1" x14ac:dyDescent="0.3">
      <c r="A166" s="65"/>
      <c r="B166" s="167"/>
      <c r="C166" s="167"/>
      <c r="D166" s="145"/>
      <c r="E166" s="145"/>
      <c r="F166" s="145"/>
      <c r="G166" s="144"/>
      <c r="J166" s="107"/>
    </row>
    <row r="167" spans="1:15" ht="12.45" customHeight="1" x14ac:dyDescent="0.35">
      <c r="A167" s="66" t="str">
        <f>"Dispatch"</f>
        <v>Dispatch</v>
      </c>
      <c r="B167" s="167"/>
      <c r="C167" s="167"/>
      <c r="D167" s="145"/>
      <c r="E167" s="145"/>
      <c r="F167" s="145"/>
      <c r="G167" s="144"/>
      <c r="J167" s="107"/>
    </row>
    <row r="168" spans="1:15" ht="12.45" customHeight="1" x14ac:dyDescent="0.3">
      <c r="A168" s="65"/>
      <c r="B168" s="167"/>
      <c r="C168" s="167"/>
      <c r="D168" s="145"/>
      <c r="E168" s="145"/>
      <c r="F168" s="111" t="s">
        <v>177</v>
      </c>
      <c r="G168" s="112" t="s">
        <v>178</v>
      </c>
      <c r="J168" s="107"/>
    </row>
    <row r="169" spans="1:15" ht="12.45" customHeight="1" x14ac:dyDescent="0.35">
      <c r="A169" s="65"/>
      <c r="B169" s="183" t="s">
        <v>214</v>
      </c>
      <c r="C169" s="131">
        <v>2</v>
      </c>
      <c r="D169" s="69"/>
      <c r="E169" s="37"/>
      <c r="F169" s="221">
        <f>G169*$J$27</f>
        <v>12.077</v>
      </c>
      <c r="G169" s="176">
        <f>IF($G$34=0,,IF(C169=0,,(65*C169)))</f>
        <v>130</v>
      </c>
      <c r="H169" s="41"/>
      <c r="J169" s="107"/>
      <c r="L169" s="222"/>
      <c r="M169" s="222"/>
      <c r="O169" s="38" t="s">
        <v>215</v>
      </c>
    </row>
    <row r="170" spans="1:15" ht="25.4" customHeight="1" x14ac:dyDescent="0.35">
      <c r="A170" s="65"/>
      <c r="B170" s="443"/>
      <c r="C170" s="443"/>
      <c r="D170" s="76"/>
      <c r="E170" s="37"/>
      <c r="F170" s="62"/>
      <c r="G170" s="128"/>
      <c r="H170" s="41"/>
      <c r="J170" s="107"/>
    </row>
    <row r="171" spans="1:15" ht="12.45" customHeight="1" x14ac:dyDescent="0.35">
      <c r="A171" s="65"/>
      <c r="B171" s="186" t="s">
        <v>216</v>
      </c>
      <c r="C171" s="130"/>
      <c r="D171" s="76"/>
      <c r="E171" s="37"/>
      <c r="F171" s="221">
        <f>G171*$J$27</f>
        <v>4.4592000000000001</v>
      </c>
      <c r="G171" s="180">
        <f>IF(G169=0,,J171)</f>
        <v>48</v>
      </c>
      <c r="H171" s="41"/>
      <c r="J171" s="107">
        <v>48</v>
      </c>
      <c r="L171" s="216"/>
      <c r="M171" s="216"/>
    </row>
    <row r="172" spans="1:15" ht="12.45" customHeight="1" x14ac:dyDescent="0.35">
      <c r="A172" s="65"/>
      <c r="B172" s="186" t="s">
        <v>217</v>
      </c>
      <c r="C172" s="130"/>
      <c r="D172" s="76"/>
      <c r="E172" s="37"/>
      <c r="F172" s="221">
        <f>G172*$J$27</f>
        <v>1.8579999999999999</v>
      </c>
      <c r="G172" s="180">
        <f>IF(G169=0,,J172)</f>
        <v>20</v>
      </c>
      <c r="H172" s="41"/>
      <c r="J172" s="107">
        <v>20</v>
      </c>
      <c r="L172" s="216"/>
      <c r="M172" s="216"/>
    </row>
    <row r="173" spans="1:15" ht="12.45" customHeight="1" x14ac:dyDescent="0.35">
      <c r="A173" s="65"/>
      <c r="B173" s="186" t="s">
        <v>218</v>
      </c>
      <c r="C173" s="130"/>
      <c r="D173" s="76"/>
      <c r="E173" s="37"/>
      <c r="F173" s="221">
        <f>G173*$J$27</f>
        <v>5.5739999999999998</v>
      </c>
      <c r="G173" s="180">
        <f>IF(G169=0,,J173)</f>
        <v>60</v>
      </c>
      <c r="H173" s="41"/>
      <c r="J173" s="107">
        <v>60</v>
      </c>
      <c r="L173" s="216"/>
      <c r="M173" s="216"/>
    </row>
    <row r="174" spans="1:15" ht="12.45" customHeight="1" x14ac:dyDescent="0.3">
      <c r="A174" s="65"/>
      <c r="B174" s="167"/>
      <c r="C174" s="167"/>
      <c r="D174" s="145"/>
      <c r="E174" s="145"/>
      <c r="F174" s="145"/>
      <c r="G174" s="144"/>
      <c r="J174" s="107"/>
    </row>
    <row r="175" spans="1:15" ht="12.45" customHeight="1" x14ac:dyDescent="0.35">
      <c r="A175" s="65"/>
      <c r="B175" s="183" t="s">
        <v>219</v>
      </c>
      <c r="C175" s="68" t="s">
        <v>169</v>
      </c>
      <c r="D175" s="69"/>
      <c r="E175" s="37"/>
      <c r="F175" s="221">
        <f>G175*$J$27</f>
        <v>5.9455999999999998</v>
      </c>
      <c r="G175" s="176">
        <f>IF(C175="Yes",64,0)</f>
        <v>64</v>
      </c>
      <c r="H175" s="41"/>
      <c r="J175" s="107">
        <v>65</v>
      </c>
      <c r="L175" s="222"/>
      <c r="M175" s="222"/>
    </row>
    <row r="176" spans="1:15" ht="12.65" customHeight="1" x14ac:dyDescent="0.3">
      <c r="A176" s="65"/>
      <c r="B176" s="444" t="s">
        <v>220</v>
      </c>
      <c r="C176" s="443"/>
      <c r="D176" s="145"/>
      <c r="E176" s="145"/>
      <c r="F176" s="145"/>
      <c r="G176" s="144"/>
      <c r="J176" s="107"/>
    </row>
    <row r="177" spans="1:10" ht="12.45" customHeight="1" x14ac:dyDescent="0.3">
      <c r="A177" s="138"/>
      <c r="B177" s="169"/>
      <c r="C177" s="169"/>
      <c r="D177" s="150"/>
      <c r="E177" s="150"/>
      <c r="F177" s="150"/>
      <c r="G177" s="142"/>
      <c r="J177" s="107"/>
    </row>
    <row r="178" spans="1:10" ht="5.15" customHeight="1" x14ac:dyDescent="0.3">
      <c r="A178" s="65"/>
      <c r="B178" s="167"/>
      <c r="C178" s="167"/>
      <c r="D178" s="145"/>
      <c r="E178" s="145"/>
      <c r="F178" s="145"/>
      <c r="G178" s="144"/>
      <c r="J178" s="107"/>
    </row>
    <row r="179" spans="1:10" ht="12.45" customHeight="1" x14ac:dyDescent="0.35">
      <c r="A179" s="66" t="s">
        <v>221</v>
      </c>
      <c r="B179" s="167"/>
      <c r="C179" s="167"/>
      <c r="D179" s="145"/>
      <c r="E179" s="145"/>
      <c r="F179" s="145"/>
      <c r="G179" s="144"/>
      <c r="J179" s="107"/>
    </row>
    <row r="180" spans="1:10" ht="12.45" customHeight="1" x14ac:dyDescent="0.35">
      <c r="A180" s="66"/>
      <c r="B180" s="167"/>
      <c r="C180" s="167"/>
      <c r="D180" s="145"/>
      <c r="E180" s="145"/>
      <c r="F180" s="145"/>
      <c r="G180" s="144"/>
      <c r="J180" s="107"/>
    </row>
    <row r="181" spans="1:10" ht="12.45" customHeight="1" x14ac:dyDescent="0.35">
      <c r="A181" s="66"/>
      <c r="B181" s="37"/>
      <c r="C181" s="167"/>
      <c r="D181" s="151" t="s">
        <v>222</v>
      </c>
      <c r="E181" s="145"/>
      <c r="F181" s="223">
        <f>G181*$J$27</f>
        <v>3325.9128999999998</v>
      </c>
      <c r="G181" s="152">
        <f>SUM(G38:G180)</f>
        <v>35801</v>
      </c>
      <c r="J181" s="107"/>
    </row>
    <row r="182" spans="1:10" ht="12.45" customHeight="1" x14ac:dyDescent="0.35">
      <c r="A182" s="66"/>
      <c r="B182" s="37"/>
      <c r="C182" s="167"/>
      <c r="D182" s="145"/>
      <c r="E182" s="145"/>
      <c r="F182" s="145"/>
      <c r="G182" s="144"/>
      <c r="J182" s="107"/>
    </row>
    <row r="183" spans="1:10" ht="12.45" customHeight="1" x14ac:dyDescent="0.35">
      <c r="A183" s="66"/>
      <c r="B183" s="80" t="str">
        <f>"Net-to-Gross factor (modify as necessary):"</f>
        <v>Net-to-Gross factor (modify as necessary):</v>
      </c>
      <c r="C183" s="153">
        <v>0.22</v>
      </c>
      <c r="D183" s="154" t="str">
        <f>IF(C183=0,"(factor at "&amp;J187&amp;")","(factor at "&amp;C183&amp;")")</f>
        <v>(factor at 0.22)</v>
      </c>
      <c r="E183" s="145"/>
      <c r="F183" s="221">
        <f>G183*$J$27</f>
        <v>731.70083799999998</v>
      </c>
      <c r="G183" s="155">
        <f>IF(C183=0,G181*J187,G181*C183)</f>
        <v>7876.22</v>
      </c>
      <c r="J183" s="156">
        <v>0.18</v>
      </c>
    </row>
    <row r="184" spans="1:10" ht="12.45" customHeight="1" x14ac:dyDescent="0.3">
      <c r="A184" s="65"/>
      <c r="B184" s="443" t="s">
        <v>223</v>
      </c>
      <c r="C184" s="443"/>
      <c r="D184" s="443"/>
      <c r="E184" s="443"/>
      <c r="F184" s="443"/>
      <c r="G184" s="445"/>
      <c r="J184" s="156">
        <v>0.19</v>
      </c>
    </row>
    <row r="185" spans="1:10" ht="12.45" customHeight="1" x14ac:dyDescent="0.3">
      <c r="A185" s="65"/>
      <c r="B185" s="443"/>
      <c r="C185" s="443"/>
      <c r="D185" s="443"/>
      <c r="E185" s="443"/>
      <c r="F185" s="443"/>
      <c r="G185" s="445"/>
      <c r="J185" s="156">
        <v>0.2</v>
      </c>
    </row>
    <row r="186" spans="1:10" ht="12.45" customHeight="1" x14ac:dyDescent="0.3">
      <c r="A186" s="65"/>
      <c r="B186" s="443"/>
      <c r="C186" s="443"/>
      <c r="D186" s="443"/>
      <c r="E186" s="167"/>
      <c r="F186" s="167"/>
      <c r="G186" s="174"/>
      <c r="J186" s="156">
        <v>0.21</v>
      </c>
    </row>
    <row r="187" spans="1:10" ht="12.45" customHeight="1" x14ac:dyDescent="0.3">
      <c r="A187" s="65"/>
      <c r="B187" s="443"/>
      <c r="C187" s="443"/>
      <c r="D187" s="443"/>
      <c r="E187" s="167"/>
      <c r="F187" s="167"/>
      <c r="G187" s="174"/>
      <c r="J187" s="156">
        <v>0.22</v>
      </c>
    </row>
    <row r="188" spans="1:10" ht="12.45" customHeight="1" x14ac:dyDescent="0.3">
      <c r="A188" s="65"/>
      <c r="B188" s="443"/>
      <c r="C188" s="443"/>
      <c r="D188" s="443"/>
      <c r="E188" s="443"/>
      <c r="F188" s="443"/>
      <c r="G188" s="445"/>
      <c r="J188" s="56"/>
    </row>
    <row r="189" spans="1:10" ht="12.45" customHeight="1" x14ac:dyDescent="0.35">
      <c r="A189" s="65"/>
      <c r="B189" s="157" t="str">
        <f>IF(G34=0,,"Summary for "&amp;C5&amp;" Fire Station:")</f>
        <v>Summary for Air Force Fire Station:</v>
      </c>
      <c r="C189" s="167"/>
      <c r="D189" s="151" t="s">
        <v>224</v>
      </c>
      <c r="E189" s="37"/>
      <c r="F189" s="223">
        <f>F183+F181</f>
        <v>4057.613738</v>
      </c>
      <c r="G189" s="152">
        <f>G183+G181</f>
        <v>43677.22</v>
      </c>
      <c r="J189" s="56"/>
    </row>
    <row r="190" spans="1:10" ht="12.45" customHeight="1" x14ac:dyDescent="0.3">
      <c r="A190" s="65"/>
      <c r="B190" s="158" t="str">
        <f>IF(G34=0,,"Type of Facility = "&amp;C8)</f>
        <v>Type of Facility = Combination</v>
      </c>
      <c r="C190" s="167"/>
      <c r="D190" s="167"/>
      <c r="E190" s="167"/>
      <c r="F190" s="167"/>
      <c r="G190" s="174"/>
      <c r="J190" s="156"/>
    </row>
    <row r="191" spans="1:10" ht="12.45" customHeight="1" x14ac:dyDescent="0.3">
      <c r="A191" s="65"/>
      <c r="B191" s="158" t="str">
        <f>IF(G34=0,,"Class of Facility = "&amp;C11)</f>
        <v>Class of Facility = HQ/Main</v>
      </c>
      <c r="C191" s="167"/>
      <c r="D191" s="167"/>
      <c r="E191" s="167"/>
      <c r="F191" s="167"/>
      <c r="G191" s="174"/>
      <c r="J191" s="56"/>
    </row>
    <row r="192" spans="1:10" ht="12.45" customHeight="1" x14ac:dyDescent="0.3">
      <c r="A192" s="65"/>
      <c r="B192" s="158" t="str">
        <f>IF(G34=0,,"Total Dorm Room Count = "&amp;G25)</f>
        <v>Total Dorm Room Count = 39</v>
      </c>
      <c r="C192" s="145"/>
      <c r="D192" s="145"/>
      <c r="E192" s="145"/>
      <c r="F192" s="145"/>
      <c r="G192" s="144"/>
      <c r="J192" s="107"/>
    </row>
    <row r="193" spans="1:10" ht="12.45" customHeight="1" x14ac:dyDescent="0.3">
      <c r="A193" s="65"/>
      <c r="B193" s="159" t="str">
        <f>IF(G34=0,,"Total No. of Apparatus Bays = "&amp;J193&amp;" ")</f>
        <v xml:space="preserve">Total No. of Apparatus Bays = 13 </v>
      </c>
      <c r="C193" s="37"/>
      <c r="D193" s="37"/>
      <c r="E193" s="37"/>
      <c r="F193" s="37"/>
      <c r="G193" s="55"/>
      <c r="J193" s="107">
        <f>IF(G40=0,SUM(C28:C31),SUM(C28:C31)+J40)</f>
        <v>13</v>
      </c>
    </row>
    <row r="194" spans="1:10" ht="12.45" customHeight="1" thickBot="1" x14ac:dyDescent="0.4">
      <c r="A194" s="160"/>
      <c r="B194" s="101"/>
      <c r="C194" s="101"/>
      <c r="D194" s="161"/>
      <c r="E194" s="101"/>
      <c r="F194" s="162"/>
      <c r="G194" s="163"/>
      <c r="J194" s="107"/>
    </row>
  </sheetData>
  <mergeCells count="38">
    <mergeCell ref="B1:C2"/>
    <mergeCell ref="D1:G2"/>
    <mergeCell ref="A3:G3"/>
    <mergeCell ref="L3:M3"/>
    <mergeCell ref="B9:C9"/>
    <mergeCell ref="B81:B82"/>
    <mergeCell ref="B15:E15"/>
    <mergeCell ref="B18:D18"/>
    <mergeCell ref="F21:G22"/>
    <mergeCell ref="B23:C25"/>
    <mergeCell ref="D27:F27"/>
    <mergeCell ref="B33:C34"/>
    <mergeCell ref="B39:C39"/>
    <mergeCell ref="B41:C41"/>
    <mergeCell ref="B12:C12"/>
    <mergeCell ref="D12:G12"/>
    <mergeCell ref="O68:O69"/>
    <mergeCell ref="B69:C69"/>
    <mergeCell ref="B74:C74"/>
    <mergeCell ref="B146:C146"/>
    <mergeCell ref="B83:C84"/>
    <mergeCell ref="O92:O95"/>
    <mergeCell ref="O98:O99"/>
    <mergeCell ref="O104:O105"/>
    <mergeCell ref="B132:C132"/>
    <mergeCell ref="B134:C134"/>
    <mergeCell ref="B136:C136"/>
    <mergeCell ref="B138:C138"/>
    <mergeCell ref="B140:C140"/>
    <mergeCell ref="B142:C142"/>
    <mergeCell ref="B144:C144"/>
    <mergeCell ref="B158:C158"/>
    <mergeCell ref="B170:C170"/>
    <mergeCell ref="B176:C176"/>
    <mergeCell ref="B184:D188"/>
    <mergeCell ref="E184:G184"/>
    <mergeCell ref="E185:G185"/>
    <mergeCell ref="E188:G188"/>
  </mergeCells>
  <conditionalFormatting sqref="A3:G3">
    <cfRule type="cellIs" dxfId="21" priority="9" stopIfTrue="1" operator="equal">
      <formula>"Project Name and Information Here"</formula>
    </cfRule>
  </conditionalFormatting>
  <conditionalFormatting sqref="B93">
    <cfRule type="cellIs" dxfId="20" priority="19" stopIfTrue="1" operator="equal">
      <formula>"Must select bed configuration above."</formula>
    </cfRule>
  </conditionalFormatting>
  <conditionalFormatting sqref="C16">
    <cfRule type="expression" dxfId="19" priority="15" stopIfTrue="1">
      <formula>IF($C$8=$J$11,TRUE,FALSE)</formula>
    </cfRule>
    <cfRule type="expression" dxfId="18" priority="16" stopIfTrue="1">
      <formula>IF($C$8&lt;&gt;$J$11,TRUE,FALSE)</formula>
    </cfRule>
  </conditionalFormatting>
  <conditionalFormatting sqref="C17">
    <cfRule type="expression" dxfId="17" priority="13" stopIfTrue="1">
      <formula>IF($C$8=$J$10,TRUE,FALSE)</formula>
    </cfRule>
    <cfRule type="expression" dxfId="16" priority="14" stopIfTrue="1">
      <formula>IF($C$8&lt;&gt;$J$10,TRUE,FALSE)</formula>
    </cfRule>
  </conditionalFormatting>
  <conditionalFormatting sqref="C81:C82">
    <cfRule type="expression" dxfId="15" priority="17" stopIfTrue="1">
      <formula>IF($C$5&lt;&gt;$J$7,TRUE,FALSE)</formula>
    </cfRule>
  </conditionalFormatting>
  <conditionalFormatting sqref="C159 C161 C163">
    <cfRule type="expression" dxfId="14" priority="3" stopIfTrue="1">
      <formula>IF($C$5&lt;&gt;$J$7,TRUE,FALSE)</formula>
    </cfRule>
  </conditionalFormatting>
  <conditionalFormatting sqref="C175">
    <cfRule type="expression" dxfId="13" priority="2" stopIfTrue="1">
      <formula>IF($C$169&gt;0,FALSE,TRUE)</formula>
    </cfRule>
  </conditionalFormatting>
  <conditionalFormatting sqref="D12:G12 F21:G22">
    <cfRule type="cellIs" dxfId="12" priority="5" stopIfTrue="1" operator="notEqual">
      <formula>0</formula>
    </cfRule>
  </conditionalFormatting>
  <conditionalFormatting sqref="F20">
    <cfRule type="cellIs" dxfId="11" priority="18" stopIfTrue="1" operator="equal">
      <formula>"error"</formula>
    </cfRule>
  </conditionalFormatting>
  <conditionalFormatting sqref="F18:G18 G34:G35">
    <cfRule type="cellIs" dxfId="10" priority="4" stopIfTrue="1" operator="greaterThan">
      <formula>"""Too Many"""</formula>
    </cfRule>
  </conditionalFormatting>
  <conditionalFormatting sqref="G163">
    <cfRule type="cellIs" dxfId="9" priority="20" stopIfTrue="1" operator="equal">
      <formula>FALSE</formula>
    </cfRule>
  </conditionalFormatting>
  <conditionalFormatting sqref="O34">
    <cfRule type="cellIs" dxfId="8" priority="11" stopIfTrue="1" operator="equal">
      <formula>FALSE</formula>
    </cfRule>
    <cfRule type="cellIs" dxfId="7" priority="12" stopIfTrue="1" operator="notEqual">
      <formula>0</formula>
    </cfRule>
  </conditionalFormatting>
  <conditionalFormatting sqref="O34:O35">
    <cfRule type="cellIs" dxfId="6" priority="6" stopIfTrue="1" operator="equal">
      <formula>0</formula>
    </cfRule>
  </conditionalFormatting>
  <conditionalFormatting sqref="O35">
    <cfRule type="cellIs" dxfId="5" priority="7" stopIfTrue="1" operator="equal">
      <formula>FALSE</formula>
    </cfRule>
    <cfRule type="cellIs" dxfId="4" priority="8" stopIfTrue="1" operator="notEqual">
      <formula>0</formula>
    </cfRule>
  </conditionalFormatting>
  <dataValidations count="14">
    <dataValidation type="whole" allowBlank="1" showInputMessage="1" showErrorMessage="1" sqref="C169 IY169 SU169 ACQ169 AMM169 AWI169 BGE169 BQA169 BZW169 CJS169 CTO169 DDK169 DNG169 DXC169 EGY169 EQU169 FAQ169 FKM169 FUI169 GEE169 GOA169 GXW169 HHS169 HRO169 IBK169 ILG169 IVC169 JEY169 JOU169 JYQ169 KIM169 KSI169 LCE169 LMA169 LVW169 MFS169 MPO169 MZK169 NJG169 NTC169 OCY169 OMU169 OWQ169 PGM169 PQI169 QAE169 QKA169 QTW169 RDS169 RNO169 RXK169 SHG169 SRC169 TAY169 TKU169 TUQ169 UEM169 UOI169 UYE169 VIA169 VRW169 WBS169 WLO169 WVK169 C65682 IY65682 SU65682 ACQ65682 AMM65682 AWI65682 BGE65682 BQA65682 BZW65682 CJS65682 CTO65682 DDK65682 DNG65682 DXC65682 EGY65682 EQU65682 FAQ65682 FKM65682 FUI65682 GEE65682 GOA65682 GXW65682 HHS65682 HRO65682 IBK65682 ILG65682 IVC65682 JEY65682 JOU65682 JYQ65682 KIM65682 KSI65682 LCE65682 LMA65682 LVW65682 MFS65682 MPO65682 MZK65682 NJG65682 NTC65682 OCY65682 OMU65682 OWQ65682 PGM65682 PQI65682 QAE65682 QKA65682 QTW65682 RDS65682 RNO65682 RXK65682 SHG65682 SRC65682 TAY65682 TKU65682 TUQ65682 UEM65682 UOI65682 UYE65682 VIA65682 VRW65682 WBS65682 WLO65682 WVK65682 C131218 IY131218 SU131218 ACQ131218 AMM131218 AWI131218 BGE131218 BQA131218 BZW131218 CJS131218 CTO131218 DDK131218 DNG131218 DXC131218 EGY131218 EQU131218 FAQ131218 FKM131218 FUI131218 GEE131218 GOA131218 GXW131218 HHS131218 HRO131218 IBK131218 ILG131218 IVC131218 JEY131218 JOU131218 JYQ131218 KIM131218 KSI131218 LCE131218 LMA131218 LVW131218 MFS131218 MPO131218 MZK131218 NJG131218 NTC131218 OCY131218 OMU131218 OWQ131218 PGM131218 PQI131218 QAE131218 QKA131218 QTW131218 RDS131218 RNO131218 RXK131218 SHG131218 SRC131218 TAY131218 TKU131218 TUQ131218 UEM131218 UOI131218 UYE131218 VIA131218 VRW131218 WBS131218 WLO131218 WVK131218 C196754 IY196754 SU196754 ACQ196754 AMM196754 AWI196754 BGE196754 BQA196754 BZW196754 CJS196754 CTO196754 DDK196754 DNG196754 DXC196754 EGY196754 EQU196754 FAQ196754 FKM196754 FUI196754 GEE196754 GOA196754 GXW196754 HHS196754 HRO196754 IBK196754 ILG196754 IVC196754 JEY196754 JOU196754 JYQ196754 KIM196754 KSI196754 LCE196754 LMA196754 LVW196754 MFS196754 MPO196754 MZK196754 NJG196754 NTC196754 OCY196754 OMU196754 OWQ196754 PGM196754 PQI196754 QAE196754 QKA196754 QTW196754 RDS196754 RNO196754 RXK196754 SHG196754 SRC196754 TAY196754 TKU196754 TUQ196754 UEM196754 UOI196754 UYE196754 VIA196754 VRW196754 WBS196754 WLO196754 WVK196754 C262290 IY262290 SU262290 ACQ262290 AMM262290 AWI262290 BGE262290 BQA262290 BZW262290 CJS262290 CTO262290 DDK262290 DNG262290 DXC262290 EGY262290 EQU262290 FAQ262290 FKM262290 FUI262290 GEE262290 GOA262290 GXW262290 HHS262290 HRO262290 IBK262290 ILG262290 IVC262290 JEY262290 JOU262290 JYQ262290 KIM262290 KSI262290 LCE262290 LMA262290 LVW262290 MFS262290 MPO262290 MZK262290 NJG262290 NTC262290 OCY262290 OMU262290 OWQ262290 PGM262290 PQI262290 QAE262290 QKA262290 QTW262290 RDS262290 RNO262290 RXK262290 SHG262290 SRC262290 TAY262290 TKU262290 TUQ262290 UEM262290 UOI262290 UYE262290 VIA262290 VRW262290 WBS262290 WLO262290 WVK262290 C327826 IY327826 SU327826 ACQ327826 AMM327826 AWI327826 BGE327826 BQA327826 BZW327826 CJS327826 CTO327826 DDK327826 DNG327826 DXC327826 EGY327826 EQU327826 FAQ327826 FKM327826 FUI327826 GEE327826 GOA327826 GXW327826 HHS327826 HRO327826 IBK327826 ILG327826 IVC327826 JEY327826 JOU327826 JYQ327826 KIM327826 KSI327826 LCE327826 LMA327826 LVW327826 MFS327826 MPO327826 MZK327826 NJG327826 NTC327826 OCY327826 OMU327826 OWQ327826 PGM327826 PQI327826 QAE327826 QKA327826 QTW327826 RDS327826 RNO327826 RXK327826 SHG327826 SRC327826 TAY327826 TKU327826 TUQ327826 UEM327826 UOI327826 UYE327826 VIA327826 VRW327826 WBS327826 WLO327826 WVK327826 C393362 IY393362 SU393362 ACQ393362 AMM393362 AWI393362 BGE393362 BQA393362 BZW393362 CJS393362 CTO393362 DDK393362 DNG393362 DXC393362 EGY393362 EQU393362 FAQ393362 FKM393362 FUI393362 GEE393362 GOA393362 GXW393362 HHS393362 HRO393362 IBK393362 ILG393362 IVC393362 JEY393362 JOU393362 JYQ393362 KIM393362 KSI393362 LCE393362 LMA393362 LVW393362 MFS393362 MPO393362 MZK393362 NJG393362 NTC393362 OCY393362 OMU393362 OWQ393362 PGM393362 PQI393362 QAE393362 QKA393362 QTW393362 RDS393362 RNO393362 RXK393362 SHG393362 SRC393362 TAY393362 TKU393362 TUQ393362 UEM393362 UOI393362 UYE393362 VIA393362 VRW393362 WBS393362 WLO393362 WVK393362 C458898 IY458898 SU458898 ACQ458898 AMM458898 AWI458898 BGE458898 BQA458898 BZW458898 CJS458898 CTO458898 DDK458898 DNG458898 DXC458898 EGY458898 EQU458898 FAQ458898 FKM458898 FUI458898 GEE458898 GOA458898 GXW458898 HHS458898 HRO458898 IBK458898 ILG458898 IVC458898 JEY458898 JOU458898 JYQ458898 KIM458898 KSI458898 LCE458898 LMA458898 LVW458898 MFS458898 MPO458898 MZK458898 NJG458898 NTC458898 OCY458898 OMU458898 OWQ458898 PGM458898 PQI458898 QAE458898 QKA458898 QTW458898 RDS458898 RNO458898 RXK458898 SHG458898 SRC458898 TAY458898 TKU458898 TUQ458898 UEM458898 UOI458898 UYE458898 VIA458898 VRW458898 WBS458898 WLO458898 WVK458898 C524434 IY524434 SU524434 ACQ524434 AMM524434 AWI524434 BGE524434 BQA524434 BZW524434 CJS524434 CTO524434 DDK524434 DNG524434 DXC524434 EGY524434 EQU524434 FAQ524434 FKM524434 FUI524434 GEE524434 GOA524434 GXW524434 HHS524434 HRO524434 IBK524434 ILG524434 IVC524434 JEY524434 JOU524434 JYQ524434 KIM524434 KSI524434 LCE524434 LMA524434 LVW524434 MFS524434 MPO524434 MZK524434 NJG524434 NTC524434 OCY524434 OMU524434 OWQ524434 PGM524434 PQI524434 QAE524434 QKA524434 QTW524434 RDS524434 RNO524434 RXK524434 SHG524434 SRC524434 TAY524434 TKU524434 TUQ524434 UEM524434 UOI524434 UYE524434 VIA524434 VRW524434 WBS524434 WLO524434 WVK524434 C589970 IY589970 SU589970 ACQ589970 AMM589970 AWI589970 BGE589970 BQA589970 BZW589970 CJS589970 CTO589970 DDK589970 DNG589970 DXC589970 EGY589970 EQU589970 FAQ589970 FKM589970 FUI589970 GEE589970 GOA589970 GXW589970 HHS589970 HRO589970 IBK589970 ILG589970 IVC589970 JEY589970 JOU589970 JYQ589970 KIM589970 KSI589970 LCE589970 LMA589970 LVW589970 MFS589970 MPO589970 MZK589970 NJG589970 NTC589970 OCY589970 OMU589970 OWQ589970 PGM589970 PQI589970 QAE589970 QKA589970 QTW589970 RDS589970 RNO589970 RXK589970 SHG589970 SRC589970 TAY589970 TKU589970 TUQ589970 UEM589970 UOI589970 UYE589970 VIA589970 VRW589970 WBS589970 WLO589970 WVK589970 C655506 IY655506 SU655506 ACQ655506 AMM655506 AWI655506 BGE655506 BQA655506 BZW655506 CJS655506 CTO655506 DDK655506 DNG655506 DXC655506 EGY655506 EQU655506 FAQ655506 FKM655506 FUI655506 GEE655506 GOA655506 GXW655506 HHS655506 HRO655506 IBK655506 ILG655506 IVC655506 JEY655506 JOU655506 JYQ655506 KIM655506 KSI655506 LCE655506 LMA655506 LVW655506 MFS655506 MPO655506 MZK655506 NJG655506 NTC655506 OCY655506 OMU655506 OWQ655506 PGM655506 PQI655506 QAE655506 QKA655506 QTW655506 RDS655506 RNO655506 RXK655506 SHG655506 SRC655506 TAY655506 TKU655506 TUQ655506 UEM655506 UOI655506 UYE655506 VIA655506 VRW655506 WBS655506 WLO655506 WVK655506 C721042 IY721042 SU721042 ACQ721042 AMM721042 AWI721042 BGE721042 BQA721042 BZW721042 CJS721042 CTO721042 DDK721042 DNG721042 DXC721042 EGY721042 EQU721042 FAQ721042 FKM721042 FUI721042 GEE721042 GOA721042 GXW721042 HHS721042 HRO721042 IBK721042 ILG721042 IVC721042 JEY721042 JOU721042 JYQ721042 KIM721042 KSI721042 LCE721042 LMA721042 LVW721042 MFS721042 MPO721042 MZK721042 NJG721042 NTC721042 OCY721042 OMU721042 OWQ721042 PGM721042 PQI721042 QAE721042 QKA721042 QTW721042 RDS721042 RNO721042 RXK721042 SHG721042 SRC721042 TAY721042 TKU721042 TUQ721042 UEM721042 UOI721042 UYE721042 VIA721042 VRW721042 WBS721042 WLO721042 WVK721042 C786578 IY786578 SU786578 ACQ786578 AMM786578 AWI786578 BGE786578 BQA786578 BZW786578 CJS786578 CTO786578 DDK786578 DNG786578 DXC786578 EGY786578 EQU786578 FAQ786578 FKM786578 FUI786578 GEE786578 GOA786578 GXW786578 HHS786578 HRO786578 IBK786578 ILG786578 IVC786578 JEY786578 JOU786578 JYQ786578 KIM786578 KSI786578 LCE786578 LMA786578 LVW786578 MFS786578 MPO786578 MZK786578 NJG786578 NTC786578 OCY786578 OMU786578 OWQ786578 PGM786578 PQI786578 QAE786578 QKA786578 QTW786578 RDS786578 RNO786578 RXK786578 SHG786578 SRC786578 TAY786578 TKU786578 TUQ786578 UEM786578 UOI786578 UYE786578 VIA786578 VRW786578 WBS786578 WLO786578 WVK786578 C852114 IY852114 SU852114 ACQ852114 AMM852114 AWI852114 BGE852114 BQA852114 BZW852114 CJS852114 CTO852114 DDK852114 DNG852114 DXC852114 EGY852114 EQU852114 FAQ852114 FKM852114 FUI852114 GEE852114 GOA852114 GXW852114 HHS852114 HRO852114 IBK852114 ILG852114 IVC852114 JEY852114 JOU852114 JYQ852114 KIM852114 KSI852114 LCE852114 LMA852114 LVW852114 MFS852114 MPO852114 MZK852114 NJG852114 NTC852114 OCY852114 OMU852114 OWQ852114 PGM852114 PQI852114 QAE852114 QKA852114 QTW852114 RDS852114 RNO852114 RXK852114 SHG852114 SRC852114 TAY852114 TKU852114 TUQ852114 UEM852114 UOI852114 UYE852114 VIA852114 VRW852114 WBS852114 WLO852114 WVK852114 C917650 IY917650 SU917650 ACQ917650 AMM917650 AWI917650 BGE917650 BQA917650 BZW917650 CJS917650 CTO917650 DDK917650 DNG917650 DXC917650 EGY917650 EQU917650 FAQ917650 FKM917650 FUI917650 GEE917650 GOA917650 GXW917650 HHS917650 HRO917650 IBK917650 ILG917650 IVC917650 JEY917650 JOU917650 JYQ917650 KIM917650 KSI917650 LCE917650 LMA917650 LVW917650 MFS917650 MPO917650 MZK917650 NJG917650 NTC917650 OCY917650 OMU917650 OWQ917650 PGM917650 PQI917650 QAE917650 QKA917650 QTW917650 RDS917650 RNO917650 RXK917650 SHG917650 SRC917650 TAY917650 TKU917650 TUQ917650 UEM917650 UOI917650 UYE917650 VIA917650 VRW917650 WBS917650 WLO917650 WVK917650 C983186 IY983186 SU983186 ACQ983186 AMM983186 AWI983186 BGE983186 BQA983186 BZW983186 CJS983186 CTO983186 DDK983186 DNG983186 DXC983186 EGY983186 EQU983186 FAQ983186 FKM983186 FUI983186 GEE983186 GOA983186 GXW983186 HHS983186 HRO983186 IBK983186 ILG983186 IVC983186 JEY983186 JOU983186 JYQ983186 KIM983186 KSI983186 LCE983186 LMA983186 LVW983186 MFS983186 MPO983186 MZK983186 NJG983186 NTC983186 OCY983186 OMU983186 OWQ983186 PGM983186 PQI983186 QAE983186 QKA983186 QTW983186 RDS983186 RNO983186 RXK983186 SHG983186 SRC983186 TAY983186 TKU983186 TUQ983186 UEM983186 UOI983186 UYE983186 VIA983186 VRW983186 WBS983186 WLO983186 WVK983186" xr:uid="{1E1C586A-E354-43EF-BE68-91599BC44E03}">
      <formula1>0</formula1>
      <formula2>5</formula2>
    </dataValidation>
    <dataValidation type="whole" allowBlank="1" showInputMessage="1" showErrorMessage="1" sqref="C159 IY159 SU159 ACQ159 AMM159 AWI159 BGE159 BQA159 BZW159 CJS159 CTO159 DDK159 DNG159 DXC159 EGY159 EQU159 FAQ159 FKM159 FUI159 GEE159 GOA159 GXW159 HHS159 HRO159 IBK159 ILG159 IVC159 JEY159 JOU159 JYQ159 KIM159 KSI159 LCE159 LMA159 LVW159 MFS159 MPO159 MZK159 NJG159 NTC159 OCY159 OMU159 OWQ159 PGM159 PQI159 QAE159 QKA159 QTW159 RDS159 RNO159 RXK159 SHG159 SRC159 TAY159 TKU159 TUQ159 UEM159 UOI159 UYE159 VIA159 VRW159 WBS159 WLO159 WVK159 C65672 IY65672 SU65672 ACQ65672 AMM65672 AWI65672 BGE65672 BQA65672 BZW65672 CJS65672 CTO65672 DDK65672 DNG65672 DXC65672 EGY65672 EQU65672 FAQ65672 FKM65672 FUI65672 GEE65672 GOA65672 GXW65672 HHS65672 HRO65672 IBK65672 ILG65672 IVC65672 JEY65672 JOU65672 JYQ65672 KIM65672 KSI65672 LCE65672 LMA65672 LVW65672 MFS65672 MPO65672 MZK65672 NJG65672 NTC65672 OCY65672 OMU65672 OWQ65672 PGM65672 PQI65672 QAE65672 QKA65672 QTW65672 RDS65672 RNO65672 RXK65672 SHG65672 SRC65672 TAY65672 TKU65672 TUQ65672 UEM65672 UOI65672 UYE65672 VIA65672 VRW65672 WBS65672 WLO65672 WVK65672 C131208 IY131208 SU131208 ACQ131208 AMM131208 AWI131208 BGE131208 BQA131208 BZW131208 CJS131208 CTO131208 DDK131208 DNG131208 DXC131208 EGY131208 EQU131208 FAQ131208 FKM131208 FUI131208 GEE131208 GOA131208 GXW131208 HHS131208 HRO131208 IBK131208 ILG131208 IVC131208 JEY131208 JOU131208 JYQ131208 KIM131208 KSI131208 LCE131208 LMA131208 LVW131208 MFS131208 MPO131208 MZK131208 NJG131208 NTC131208 OCY131208 OMU131208 OWQ131208 PGM131208 PQI131208 QAE131208 QKA131208 QTW131208 RDS131208 RNO131208 RXK131208 SHG131208 SRC131208 TAY131208 TKU131208 TUQ131208 UEM131208 UOI131208 UYE131208 VIA131208 VRW131208 WBS131208 WLO131208 WVK131208 C196744 IY196744 SU196744 ACQ196744 AMM196744 AWI196744 BGE196744 BQA196744 BZW196744 CJS196744 CTO196744 DDK196744 DNG196744 DXC196744 EGY196744 EQU196744 FAQ196744 FKM196744 FUI196744 GEE196744 GOA196744 GXW196744 HHS196744 HRO196744 IBK196744 ILG196744 IVC196744 JEY196744 JOU196744 JYQ196744 KIM196744 KSI196744 LCE196744 LMA196744 LVW196744 MFS196744 MPO196744 MZK196744 NJG196744 NTC196744 OCY196744 OMU196744 OWQ196744 PGM196744 PQI196744 QAE196744 QKA196744 QTW196744 RDS196744 RNO196744 RXK196744 SHG196744 SRC196744 TAY196744 TKU196744 TUQ196744 UEM196744 UOI196744 UYE196744 VIA196744 VRW196744 WBS196744 WLO196744 WVK196744 C262280 IY262280 SU262280 ACQ262280 AMM262280 AWI262280 BGE262280 BQA262280 BZW262280 CJS262280 CTO262280 DDK262280 DNG262280 DXC262280 EGY262280 EQU262280 FAQ262280 FKM262280 FUI262280 GEE262280 GOA262280 GXW262280 HHS262280 HRO262280 IBK262280 ILG262280 IVC262280 JEY262280 JOU262280 JYQ262280 KIM262280 KSI262280 LCE262280 LMA262280 LVW262280 MFS262280 MPO262280 MZK262280 NJG262280 NTC262280 OCY262280 OMU262280 OWQ262280 PGM262280 PQI262280 QAE262280 QKA262280 QTW262280 RDS262280 RNO262280 RXK262280 SHG262280 SRC262280 TAY262280 TKU262280 TUQ262280 UEM262280 UOI262280 UYE262280 VIA262280 VRW262280 WBS262280 WLO262280 WVK262280 C327816 IY327816 SU327816 ACQ327816 AMM327816 AWI327816 BGE327816 BQA327816 BZW327816 CJS327816 CTO327816 DDK327816 DNG327816 DXC327816 EGY327816 EQU327816 FAQ327816 FKM327816 FUI327816 GEE327816 GOA327816 GXW327816 HHS327816 HRO327816 IBK327816 ILG327816 IVC327816 JEY327816 JOU327816 JYQ327816 KIM327816 KSI327816 LCE327816 LMA327816 LVW327816 MFS327816 MPO327816 MZK327816 NJG327816 NTC327816 OCY327816 OMU327816 OWQ327816 PGM327816 PQI327816 QAE327816 QKA327816 QTW327816 RDS327816 RNO327816 RXK327816 SHG327816 SRC327816 TAY327816 TKU327816 TUQ327816 UEM327816 UOI327816 UYE327816 VIA327816 VRW327816 WBS327816 WLO327816 WVK327816 C393352 IY393352 SU393352 ACQ393352 AMM393352 AWI393352 BGE393352 BQA393352 BZW393352 CJS393352 CTO393352 DDK393352 DNG393352 DXC393352 EGY393352 EQU393352 FAQ393352 FKM393352 FUI393352 GEE393352 GOA393352 GXW393352 HHS393352 HRO393352 IBK393352 ILG393352 IVC393352 JEY393352 JOU393352 JYQ393352 KIM393352 KSI393352 LCE393352 LMA393352 LVW393352 MFS393352 MPO393352 MZK393352 NJG393352 NTC393352 OCY393352 OMU393352 OWQ393352 PGM393352 PQI393352 QAE393352 QKA393352 QTW393352 RDS393352 RNO393352 RXK393352 SHG393352 SRC393352 TAY393352 TKU393352 TUQ393352 UEM393352 UOI393352 UYE393352 VIA393352 VRW393352 WBS393352 WLO393352 WVK393352 C458888 IY458888 SU458888 ACQ458888 AMM458888 AWI458888 BGE458888 BQA458888 BZW458888 CJS458888 CTO458888 DDK458888 DNG458888 DXC458888 EGY458888 EQU458888 FAQ458888 FKM458888 FUI458888 GEE458888 GOA458888 GXW458888 HHS458888 HRO458888 IBK458888 ILG458888 IVC458888 JEY458888 JOU458888 JYQ458888 KIM458888 KSI458888 LCE458888 LMA458888 LVW458888 MFS458888 MPO458888 MZK458888 NJG458888 NTC458888 OCY458888 OMU458888 OWQ458888 PGM458888 PQI458888 QAE458888 QKA458888 QTW458888 RDS458888 RNO458888 RXK458888 SHG458888 SRC458888 TAY458888 TKU458888 TUQ458888 UEM458888 UOI458888 UYE458888 VIA458888 VRW458888 WBS458888 WLO458888 WVK458888 C524424 IY524424 SU524424 ACQ524424 AMM524424 AWI524424 BGE524424 BQA524424 BZW524424 CJS524424 CTO524424 DDK524424 DNG524424 DXC524424 EGY524424 EQU524424 FAQ524424 FKM524424 FUI524424 GEE524424 GOA524424 GXW524424 HHS524424 HRO524424 IBK524424 ILG524424 IVC524424 JEY524424 JOU524424 JYQ524424 KIM524424 KSI524424 LCE524424 LMA524424 LVW524424 MFS524424 MPO524424 MZK524424 NJG524424 NTC524424 OCY524424 OMU524424 OWQ524424 PGM524424 PQI524424 QAE524424 QKA524424 QTW524424 RDS524424 RNO524424 RXK524424 SHG524424 SRC524424 TAY524424 TKU524424 TUQ524424 UEM524424 UOI524424 UYE524424 VIA524424 VRW524424 WBS524424 WLO524424 WVK524424 C589960 IY589960 SU589960 ACQ589960 AMM589960 AWI589960 BGE589960 BQA589960 BZW589960 CJS589960 CTO589960 DDK589960 DNG589960 DXC589960 EGY589960 EQU589960 FAQ589960 FKM589960 FUI589960 GEE589960 GOA589960 GXW589960 HHS589960 HRO589960 IBK589960 ILG589960 IVC589960 JEY589960 JOU589960 JYQ589960 KIM589960 KSI589960 LCE589960 LMA589960 LVW589960 MFS589960 MPO589960 MZK589960 NJG589960 NTC589960 OCY589960 OMU589960 OWQ589960 PGM589960 PQI589960 QAE589960 QKA589960 QTW589960 RDS589960 RNO589960 RXK589960 SHG589960 SRC589960 TAY589960 TKU589960 TUQ589960 UEM589960 UOI589960 UYE589960 VIA589960 VRW589960 WBS589960 WLO589960 WVK589960 C655496 IY655496 SU655496 ACQ655496 AMM655496 AWI655496 BGE655496 BQA655496 BZW655496 CJS655496 CTO655496 DDK655496 DNG655496 DXC655496 EGY655496 EQU655496 FAQ655496 FKM655496 FUI655496 GEE655496 GOA655496 GXW655496 HHS655496 HRO655496 IBK655496 ILG655496 IVC655496 JEY655496 JOU655496 JYQ655496 KIM655496 KSI655496 LCE655496 LMA655496 LVW655496 MFS655496 MPO655496 MZK655496 NJG655496 NTC655496 OCY655496 OMU655496 OWQ655496 PGM655496 PQI655496 QAE655496 QKA655496 QTW655496 RDS655496 RNO655496 RXK655496 SHG655496 SRC655496 TAY655496 TKU655496 TUQ655496 UEM655496 UOI655496 UYE655496 VIA655496 VRW655496 WBS655496 WLO655496 WVK655496 C721032 IY721032 SU721032 ACQ721032 AMM721032 AWI721032 BGE721032 BQA721032 BZW721032 CJS721032 CTO721032 DDK721032 DNG721032 DXC721032 EGY721032 EQU721032 FAQ721032 FKM721032 FUI721032 GEE721032 GOA721032 GXW721032 HHS721032 HRO721032 IBK721032 ILG721032 IVC721032 JEY721032 JOU721032 JYQ721032 KIM721032 KSI721032 LCE721032 LMA721032 LVW721032 MFS721032 MPO721032 MZK721032 NJG721032 NTC721032 OCY721032 OMU721032 OWQ721032 PGM721032 PQI721032 QAE721032 QKA721032 QTW721032 RDS721032 RNO721032 RXK721032 SHG721032 SRC721032 TAY721032 TKU721032 TUQ721032 UEM721032 UOI721032 UYE721032 VIA721032 VRW721032 WBS721032 WLO721032 WVK721032 C786568 IY786568 SU786568 ACQ786568 AMM786568 AWI786568 BGE786568 BQA786568 BZW786568 CJS786568 CTO786568 DDK786568 DNG786568 DXC786568 EGY786568 EQU786568 FAQ786568 FKM786568 FUI786568 GEE786568 GOA786568 GXW786568 HHS786568 HRO786568 IBK786568 ILG786568 IVC786568 JEY786568 JOU786568 JYQ786568 KIM786568 KSI786568 LCE786568 LMA786568 LVW786568 MFS786568 MPO786568 MZK786568 NJG786568 NTC786568 OCY786568 OMU786568 OWQ786568 PGM786568 PQI786568 QAE786568 QKA786568 QTW786568 RDS786568 RNO786568 RXK786568 SHG786568 SRC786568 TAY786568 TKU786568 TUQ786568 UEM786568 UOI786568 UYE786568 VIA786568 VRW786568 WBS786568 WLO786568 WVK786568 C852104 IY852104 SU852104 ACQ852104 AMM852104 AWI852104 BGE852104 BQA852104 BZW852104 CJS852104 CTO852104 DDK852104 DNG852104 DXC852104 EGY852104 EQU852104 FAQ852104 FKM852104 FUI852104 GEE852104 GOA852104 GXW852104 HHS852104 HRO852104 IBK852104 ILG852104 IVC852104 JEY852104 JOU852104 JYQ852104 KIM852104 KSI852104 LCE852104 LMA852104 LVW852104 MFS852104 MPO852104 MZK852104 NJG852104 NTC852104 OCY852104 OMU852104 OWQ852104 PGM852104 PQI852104 QAE852104 QKA852104 QTW852104 RDS852104 RNO852104 RXK852104 SHG852104 SRC852104 TAY852104 TKU852104 TUQ852104 UEM852104 UOI852104 UYE852104 VIA852104 VRW852104 WBS852104 WLO852104 WVK852104 C917640 IY917640 SU917640 ACQ917640 AMM917640 AWI917640 BGE917640 BQA917640 BZW917640 CJS917640 CTO917640 DDK917640 DNG917640 DXC917640 EGY917640 EQU917640 FAQ917640 FKM917640 FUI917640 GEE917640 GOA917640 GXW917640 HHS917640 HRO917640 IBK917640 ILG917640 IVC917640 JEY917640 JOU917640 JYQ917640 KIM917640 KSI917640 LCE917640 LMA917640 LVW917640 MFS917640 MPO917640 MZK917640 NJG917640 NTC917640 OCY917640 OMU917640 OWQ917640 PGM917640 PQI917640 QAE917640 QKA917640 QTW917640 RDS917640 RNO917640 RXK917640 SHG917640 SRC917640 TAY917640 TKU917640 TUQ917640 UEM917640 UOI917640 UYE917640 VIA917640 VRW917640 WBS917640 WLO917640 WVK917640 C983176 IY983176 SU983176 ACQ983176 AMM983176 AWI983176 BGE983176 BQA983176 BZW983176 CJS983176 CTO983176 DDK983176 DNG983176 DXC983176 EGY983176 EQU983176 FAQ983176 FKM983176 FUI983176 GEE983176 GOA983176 GXW983176 HHS983176 HRO983176 IBK983176 ILG983176 IVC983176 JEY983176 JOU983176 JYQ983176 KIM983176 KSI983176 LCE983176 LMA983176 LVW983176 MFS983176 MPO983176 MZK983176 NJG983176 NTC983176 OCY983176 OMU983176 OWQ983176 PGM983176 PQI983176 QAE983176 QKA983176 QTW983176 RDS983176 RNO983176 RXK983176 SHG983176 SRC983176 TAY983176 TKU983176 TUQ983176 UEM983176 UOI983176 UYE983176 VIA983176 VRW983176 WBS983176 WLO983176 WVK983176 C73 IY73 SU73 ACQ73 AMM73 AWI73 BGE73 BQA73 BZW73 CJS73 CTO73 DDK73 DNG73 DXC73 EGY73 EQU73 FAQ73 FKM73 FUI73 GEE73 GOA73 GXW73 HHS73 HRO73 IBK73 ILG73 IVC73 JEY73 JOU73 JYQ73 KIM73 KSI73 LCE73 LMA73 LVW73 MFS73 MPO73 MZK73 NJG73 NTC73 OCY73 OMU73 OWQ73 PGM73 PQI73 QAE73 QKA73 QTW73 RDS73 RNO73 RXK73 SHG73 SRC73 TAY73 TKU73 TUQ73 UEM73 UOI73 UYE73 VIA73 VRW73 WBS73 WLO73 WVK73 C65586 IY65586 SU65586 ACQ65586 AMM65586 AWI65586 BGE65586 BQA65586 BZW65586 CJS65586 CTO65586 DDK65586 DNG65586 DXC65586 EGY65586 EQU65586 FAQ65586 FKM65586 FUI65586 GEE65586 GOA65586 GXW65586 HHS65586 HRO65586 IBK65586 ILG65586 IVC65586 JEY65586 JOU65586 JYQ65586 KIM65586 KSI65586 LCE65586 LMA65586 LVW65586 MFS65586 MPO65586 MZK65586 NJG65586 NTC65586 OCY65586 OMU65586 OWQ65586 PGM65586 PQI65586 QAE65586 QKA65586 QTW65586 RDS65586 RNO65586 RXK65586 SHG65586 SRC65586 TAY65586 TKU65586 TUQ65586 UEM65586 UOI65586 UYE65586 VIA65586 VRW65586 WBS65586 WLO65586 WVK65586 C131122 IY131122 SU131122 ACQ131122 AMM131122 AWI131122 BGE131122 BQA131122 BZW131122 CJS131122 CTO131122 DDK131122 DNG131122 DXC131122 EGY131122 EQU131122 FAQ131122 FKM131122 FUI131122 GEE131122 GOA131122 GXW131122 HHS131122 HRO131122 IBK131122 ILG131122 IVC131122 JEY131122 JOU131122 JYQ131122 KIM131122 KSI131122 LCE131122 LMA131122 LVW131122 MFS131122 MPO131122 MZK131122 NJG131122 NTC131122 OCY131122 OMU131122 OWQ131122 PGM131122 PQI131122 QAE131122 QKA131122 QTW131122 RDS131122 RNO131122 RXK131122 SHG131122 SRC131122 TAY131122 TKU131122 TUQ131122 UEM131122 UOI131122 UYE131122 VIA131122 VRW131122 WBS131122 WLO131122 WVK131122 C196658 IY196658 SU196658 ACQ196658 AMM196658 AWI196658 BGE196658 BQA196658 BZW196658 CJS196658 CTO196658 DDK196658 DNG196658 DXC196658 EGY196658 EQU196658 FAQ196658 FKM196658 FUI196658 GEE196658 GOA196658 GXW196658 HHS196658 HRO196658 IBK196658 ILG196658 IVC196658 JEY196658 JOU196658 JYQ196658 KIM196658 KSI196658 LCE196658 LMA196658 LVW196658 MFS196658 MPO196658 MZK196658 NJG196658 NTC196658 OCY196658 OMU196658 OWQ196658 PGM196658 PQI196658 QAE196658 QKA196658 QTW196658 RDS196658 RNO196658 RXK196658 SHG196658 SRC196658 TAY196658 TKU196658 TUQ196658 UEM196658 UOI196658 UYE196658 VIA196658 VRW196658 WBS196658 WLO196658 WVK196658 C262194 IY262194 SU262194 ACQ262194 AMM262194 AWI262194 BGE262194 BQA262194 BZW262194 CJS262194 CTO262194 DDK262194 DNG262194 DXC262194 EGY262194 EQU262194 FAQ262194 FKM262194 FUI262194 GEE262194 GOA262194 GXW262194 HHS262194 HRO262194 IBK262194 ILG262194 IVC262194 JEY262194 JOU262194 JYQ262194 KIM262194 KSI262194 LCE262194 LMA262194 LVW262194 MFS262194 MPO262194 MZK262194 NJG262194 NTC262194 OCY262194 OMU262194 OWQ262194 PGM262194 PQI262194 QAE262194 QKA262194 QTW262194 RDS262194 RNO262194 RXK262194 SHG262194 SRC262194 TAY262194 TKU262194 TUQ262194 UEM262194 UOI262194 UYE262194 VIA262194 VRW262194 WBS262194 WLO262194 WVK262194 C327730 IY327730 SU327730 ACQ327730 AMM327730 AWI327730 BGE327730 BQA327730 BZW327730 CJS327730 CTO327730 DDK327730 DNG327730 DXC327730 EGY327730 EQU327730 FAQ327730 FKM327730 FUI327730 GEE327730 GOA327730 GXW327730 HHS327730 HRO327730 IBK327730 ILG327730 IVC327730 JEY327730 JOU327730 JYQ327730 KIM327730 KSI327730 LCE327730 LMA327730 LVW327730 MFS327730 MPO327730 MZK327730 NJG327730 NTC327730 OCY327730 OMU327730 OWQ327730 PGM327730 PQI327730 QAE327730 QKA327730 QTW327730 RDS327730 RNO327730 RXK327730 SHG327730 SRC327730 TAY327730 TKU327730 TUQ327730 UEM327730 UOI327730 UYE327730 VIA327730 VRW327730 WBS327730 WLO327730 WVK327730 C393266 IY393266 SU393266 ACQ393266 AMM393266 AWI393266 BGE393266 BQA393266 BZW393266 CJS393266 CTO393266 DDK393266 DNG393266 DXC393266 EGY393266 EQU393266 FAQ393266 FKM393266 FUI393266 GEE393266 GOA393266 GXW393266 HHS393266 HRO393266 IBK393266 ILG393266 IVC393266 JEY393266 JOU393266 JYQ393266 KIM393266 KSI393266 LCE393266 LMA393266 LVW393266 MFS393266 MPO393266 MZK393266 NJG393266 NTC393266 OCY393266 OMU393266 OWQ393266 PGM393266 PQI393266 QAE393266 QKA393266 QTW393266 RDS393266 RNO393266 RXK393266 SHG393266 SRC393266 TAY393266 TKU393266 TUQ393266 UEM393266 UOI393266 UYE393266 VIA393266 VRW393266 WBS393266 WLO393266 WVK393266 C458802 IY458802 SU458802 ACQ458802 AMM458802 AWI458802 BGE458802 BQA458802 BZW458802 CJS458802 CTO458802 DDK458802 DNG458802 DXC458802 EGY458802 EQU458802 FAQ458802 FKM458802 FUI458802 GEE458802 GOA458802 GXW458802 HHS458802 HRO458802 IBK458802 ILG458802 IVC458802 JEY458802 JOU458802 JYQ458802 KIM458802 KSI458802 LCE458802 LMA458802 LVW458802 MFS458802 MPO458802 MZK458802 NJG458802 NTC458802 OCY458802 OMU458802 OWQ458802 PGM458802 PQI458802 QAE458802 QKA458802 QTW458802 RDS458802 RNO458802 RXK458802 SHG458802 SRC458802 TAY458802 TKU458802 TUQ458802 UEM458802 UOI458802 UYE458802 VIA458802 VRW458802 WBS458802 WLO458802 WVK458802 C524338 IY524338 SU524338 ACQ524338 AMM524338 AWI524338 BGE524338 BQA524338 BZW524338 CJS524338 CTO524338 DDK524338 DNG524338 DXC524338 EGY524338 EQU524338 FAQ524338 FKM524338 FUI524338 GEE524338 GOA524338 GXW524338 HHS524338 HRO524338 IBK524338 ILG524338 IVC524338 JEY524338 JOU524338 JYQ524338 KIM524338 KSI524338 LCE524338 LMA524338 LVW524338 MFS524338 MPO524338 MZK524338 NJG524338 NTC524338 OCY524338 OMU524338 OWQ524338 PGM524338 PQI524338 QAE524338 QKA524338 QTW524338 RDS524338 RNO524338 RXK524338 SHG524338 SRC524338 TAY524338 TKU524338 TUQ524338 UEM524338 UOI524338 UYE524338 VIA524338 VRW524338 WBS524338 WLO524338 WVK524338 C589874 IY589874 SU589874 ACQ589874 AMM589874 AWI589874 BGE589874 BQA589874 BZW589874 CJS589874 CTO589874 DDK589874 DNG589874 DXC589874 EGY589874 EQU589874 FAQ589874 FKM589874 FUI589874 GEE589874 GOA589874 GXW589874 HHS589874 HRO589874 IBK589874 ILG589874 IVC589874 JEY589874 JOU589874 JYQ589874 KIM589874 KSI589874 LCE589874 LMA589874 LVW589874 MFS589874 MPO589874 MZK589874 NJG589874 NTC589874 OCY589874 OMU589874 OWQ589874 PGM589874 PQI589874 QAE589874 QKA589874 QTW589874 RDS589874 RNO589874 RXK589874 SHG589874 SRC589874 TAY589874 TKU589874 TUQ589874 UEM589874 UOI589874 UYE589874 VIA589874 VRW589874 WBS589874 WLO589874 WVK589874 C655410 IY655410 SU655410 ACQ655410 AMM655410 AWI655410 BGE655410 BQA655410 BZW655410 CJS655410 CTO655410 DDK655410 DNG655410 DXC655410 EGY655410 EQU655410 FAQ655410 FKM655410 FUI655410 GEE655410 GOA655410 GXW655410 HHS655410 HRO655410 IBK655410 ILG655410 IVC655410 JEY655410 JOU655410 JYQ655410 KIM655410 KSI655410 LCE655410 LMA655410 LVW655410 MFS655410 MPO655410 MZK655410 NJG655410 NTC655410 OCY655410 OMU655410 OWQ655410 PGM655410 PQI655410 QAE655410 QKA655410 QTW655410 RDS655410 RNO655410 RXK655410 SHG655410 SRC655410 TAY655410 TKU655410 TUQ655410 UEM655410 UOI655410 UYE655410 VIA655410 VRW655410 WBS655410 WLO655410 WVK655410 C720946 IY720946 SU720946 ACQ720946 AMM720946 AWI720946 BGE720946 BQA720946 BZW720946 CJS720946 CTO720946 DDK720946 DNG720946 DXC720946 EGY720946 EQU720946 FAQ720946 FKM720946 FUI720946 GEE720946 GOA720946 GXW720946 HHS720946 HRO720946 IBK720946 ILG720946 IVC720946 JEY720946 JOU720946 JYQ720946 KIM720946 KSI720946 LCE720946 LMA720946 LVW720946 MFS720946 MPO720946 MZK720946 NJG720946 NTC720946 OCY720946 OMU720946 OWQ720946 PGM720946 PQI720946 QAE720946 QKA720946 QTW720946 RDS720946 RNO720946 RXK720946 SHG720946 SRC720946 TAY720946 TKU720946 TUQ720946 UEM720946 UOI720946 UYE720946 VIA720946 VRW720946 WBS720946 WLO720946 WVK720946 C786482 IY786482 SU786482 ACQ786482 AMM786482 AWI786482 BGE786482 BQA786482 BZW786482 CJS786482 CTO786482 DDK786482 DNG786482 DXC786482 EGY786482 EQU786482 FAQ786482 FKM786482 FUI786482 GEE786482 GOA786482 GXW786482 HHS786482 HRO786482 IBK786482 ILG786482 IVC786482 JEY786482 JOU786482 JYQ786482 KIM786482 KSI786482 LCE786482 LMA786482 LVW786482 MFS786482 MPO786482 MZK786482 NJG786482 NTC786482 OCY786482 OMU786482 OWQ786482 PGM786482 PQI786482 QAE786482 QKA786482 QTW786482 RDS786482 RNO786482 RXK786482 SHG786482 SRC786482 TAY786482 TKU786482 TUQ786482 UEM786482 UOI786482 UYE786482 VIA786482 VRW786482 WBS786482 WLO786482 WVK786482 C852018 IY852018 SU852018 ACQ852018 AMM852018 AWI852018 BGE852018 BQA852018 BZW852018 CJS852018 CTO852018 DDK852018 DNG852018 DXC852018 EGY852018 EQU852018 FAQ852018 FKM852018 FUI852018 GEE852018 GOA852018 GXW852018 HHS852018 HRO852018 IBK852018 ILG852018 IVC852018 JEY852018 JOU852018 JYQ852018 KIM852018 KSI852018 LCE852018 LMA852018 LVW852018 MFS852018 MPO852018 MZK852018 NJG852018 NTC852018 OCY852018 OMU852018 OWQ852018 PGM852018 PQI852018 QAE852018 QKA852018 QTW852018 RDS852018 RNO852018 RXK852018 SHG852018 SRC852018 TAY852018 TKU852018 TUQ852018 UEM852018 UOI852018 UYE852018 VIA852018 VRW852018 WBS852018 WLO852018 WVK852018 C917554 IY917554 SU917554 ACQ917554 AMM917554 AWI917554 BGE917554 BQA917554 BZW917554 CJS917554 CTO917554 DDK917554 DNG917554 DXC917554 EGY917554 EQU917554 FAQ917554 FKM917554 FUI917554 GEE917554 GOA917554 GXW917554 HHS917554 HRO917554 IBK917554 ILG917554 IVC917554 JEY917554 JOU917554 JYQ917554 KIM917554 KSI917554 LCE917554 LMA917554 LVW917554 MFS917554 MPO917554 MZK917554 NJG917554 NTC917554 OCY917554 OMU917554 OWQ917554 PGM917554 PQI917554 QAE917554 QKA917554 QTW917554 RDS917554 RNO917554 RXK917554 SHG917554 SRC917554 TAY917554 TKU917554 TUQ917554 UEM917554 UOI917554 UYE917554 VIA917554 VRW917554 WBS917554 WLO917554 WVK917554 C983090 IY983090 SU983090 ACQ983090 AMM983090 AWI983090 BGE983090 BQA983090 BZW983090 CJS983090 CTO983090 DDK983090 DNG983090 DXC983090 EGY983090 EQU983090 FAQ983090 FKM983090 FUI983090 GEE983090 GOA983090 GXW983090 HHS983090 HRO983090 IBK983090 ILG983090 IVC983090 JEY983090 JOU983090 JYQ983090 KIM983090 KSI983090 LCE983090 LMA983090 LVW983090 MFS983090 MPO983090 MZK983090 NJG983090 NTC983090 OCY983090 OMU983090 OWQ983090 PGM983090 PQI983090 QAE983090 QKA983090 QTW983090 RDS983090 RNO983090 RXK983090 SHG983090 SRC983090 TAY983090 TKU983090 TUQ983090 UEM983090 UOI983090 UYE983090 VIA983090 VRW983090 WBS983090 WLO983090 WVK983090 C135 IY135 SU135 ACQ135 AMM135 AWI135 BGE135 BQA135 BZW135 CJS135 CTO135 DDK135 DNG135 DXC135 EGY135 EQU135 FAQ135 FKM135 FUI135 GEE135 GOA135 GXW135 HHS135 HRO135 IBK135 ILG135 IVC135 JEY135 JOU135 JYQ135 KIM135 KSI135 LCE135 LMA135 LVW135 MFS135 MPO135 MZK135 NJG135 NTC135 OCY135 OMU135 OWQ135 PGM135 PQI135 QAE135 QKA135 QTW135 RDS135 RNO135 RXK135 SHG135 SRC135 TAY135 TKU135 TUQ135 UEM135 UOI135 UYE135 VIA135 VRW135 WBS135 WLO135 WVK135 C65648 IY65648 SU65648 ACQ65648 AMM65648 AWI65648 BGE65648 BQA65648 BZW65648 CJS65648 CTO65648 DDK65648 DNG65648 DXC65648 EGY65648 EQU65648 FAQ65648 FKM65648 FUI65648 GEE65648 GOA65648 GXW65648 HHS65648 HRO65648 IBK65648 ILG65648 IVC65648 JEY65648 JOU65648 JYQ65648 KIM65648 KSI65648 LCE65648 LMA65648 LVW65648 MFS65648 MPO65648 MZK65648 NJG65648 NTC65648 OCY65648 OMU65648 OWQ65648 PGM65648 PQI65648 QAE65648 QKA65648 QTW65648 RDS65648 RNO65648 RXK65648 SHG65648 SRC65648 TAY65648 TKU65648 TUQ65648 UEM65648 UOI65648 UYE65648 VIA65648 VRW65648 WBS65648 WLO65648 WVK65648 C131184 IY131184 SU131184 ACQ131184 AMM131184 AWI131184 BGE131184 BQA131184 BZW131184 CJS131184 CTO131184 DDK131184 DNG131184 DXC131184 EGY131184 EQU131184 FAQ131184 FKM131184 FUI131184 GEE131184 GOA131184 GXW131184 HHS131184 HRO131184 IBK131184 ILG131184 IVC131184 JEY131184 JOU131184 JYQ131184 KIM131184 KSI131184 LCE131184 LMA131184 LVW131184 MFS131184 MPO131184 MZK131184 NJG131184 NTC131184 OCY131184 OMU131184 OWQ131184 PGM131184 PQI131184 QAE131184 QKA131184 QTW131184 RDS131184 RNO131184 RXK131184 SHG131184 SRC131184 TAY131184 TKU131184 TUQ131184 UEM131184 UOI131184 UYE131184 VIA131184 VRW131184 WBS131184 WLO131184 WVK131184 C196720 IY196720 SU196720 ACQ196720 AMM196720 AWI196720 BGE196720 BQA196720 BZW196720 CJS196720 CTO196720 DDK196720 DNG196720 DXC196720 EGY196720 EQU196720 FAQ196720 FKM196720 FUI196720 GEE196720 GOA196720 GXW196720 HHS196720 HRO196720 IBK196720 ILG196720 IVC196720 JEY196720 JOU196720 JYQ196720 KIM196720 KSI196720 LCE196720 LMA196720 LVW196720 MFS196720 MPO196720 MZK196720 NJG196720 NTC196720 OCY196720 OMU196720 OWQ196720 PGM196720 PQI196720 QAE196720 QKA196720 QTW196720 RDS196720 RNO196720 RXK196720 SHG196720 SRC196720 TAY196720 TKU196720 TUQ196720 UEM196720 UOI196720 UYE196720 VIA196720 VRW196720 WBS196720 WLO196720 WVK196720 C262256 IY262256 SU262256 ACQ262256 AMM262256 AWI262256 BGE262256 BQA262256 BZW262256 CJS262256 CTO262256 DDK262256 DNG262256 DXC262256 EGY262256 EQU262256 FAQ262256 FKM262256 FUI262256 GEE262256 GOA262256 GXW262256 HHS262256 HRO262256 IBK262256 ILG262256 IVC262256 JEY262256 JOU262256 JYQ262256 KIM262256 KSI262256 LCE262256 LMA262256 LVW262256 MFS262256 MPO262256 MZK262256 NJG262256 NTC262256 OCY262256 OMU262256 OWQ262256 PGM262256 PQI262256 QAE262256 QKA262256 QTW262256 RDS262256 RNO262256 RXK262256 SHG262256 SRC262256 TAY262256 TKU262256 TUQ262256 UEM262256 UOI262256 UYE262256 VIA262256 VRW262256 WBS262256 WLO262256 WVK262256 C327792 IY327792 SU327792 ACQ327792 AMM327792 AWI327792 BGE327792 BQA327792 BZW327792 CJS327792 CTO327792 DDK327792 DNG327792 DXC327792 EGY327792 EQU327792 FAQ327792 FKM327792 FUI327792 GEE327792 GOA327792 GXW327792 HHS327792 HRO327792 IBK327792 ILG327792 IVC327792 JEY327792 JOU327792 JYQ327792 KIM327792 KSI327792 LCE327792 LMA327792 LVW327792 MFS327792 MPO327792 MZK327792 NJG327792 NTC327792 OCY327792 OMU327792 OWQ327792 PGM327792 PQI327792 QAE327792 QKA327792 QTW327792 RDS327792 RNO327792 RXK327792 SHG327792 SRC327792 TAY327792 TKU327792 TUQ327792 UEM327792 UOI327792 UYE327792 VIA327792 VRW327792 WBS327792 WLO327792 WVK327792 C393328 IY393328 SU393328 ACQ393328 AMM393328 AWI393328 BGE393328 BQA393328 BZW393328 CJS393328 CTO393328 DDK393328 DNG393328 DXC393328 EGY393328 EQU393328 FAQ393328 FKM393328 FUI393328 GEE393328 GOA393328 GXW393328 HHS393328 HRO393328 IBK393328 ILG393328 IVC393328 JEY393328 JOU393328 JYQ393328 KIM393328 KSI393328 LCE393328 LMA393328 LVW393328 MFS393328 MPO393328 MZK393328 NJG393328 NTC393328 OCY393328 OMU393328 OWQ393328 PGM393328 PQI393328 QAE393328 QKA393328 QTW393328 RDS393328 RNO393328 RXK393328 SHG393328 SRC393328 TAY393328 TKU393328 TUQ393328 UEM393328 UOI393328 UYE393328 VIA393328 VRW393328 WBS393328 WLO393328 WVK393328 C458864 IY458864 SU458864 ACQ458864 AMM458864 AWI458864 BGE458864 BQA458864 BZW458864 CJS458864 CTO458864 DDK458864 DNG458864 DXC458864 EGY458864 EQU458864 FAQ458864 FKM458864 FUI458864 GEE458864 GOA458864 GXW458864 HHS458864 HRO458864 IBK458864 ILG458864 IVC458864 JEY458864 JOU458864 JYQ458864 KIM458864 KSI458864 LCE458864 LMA458864 LVW458864 MFS458864 MPO458864 MZK458864 NJG458864 NTC458864 OCY458864 OMU458864 OWQ458864 PGM458864 PQI458864 QAE458864 QKA458864 QTW458864 RDS458864 RNO458864 RXK458864 SHG458864 SRC458864 TAY458864 TKU458864 TUQ458864 UEM458864 UOI458864 UYE458864 VIA458864 VRW458864 WBS458864 WLO458864 WVK458864 C524400 IY524400 SU524400 ACQ524400 AMM524400 AWI524400 BGE524400 BQA524400 BZW524400 CJS524400 CTO524400 DDK524400 DNG524400 DXC524400 EGY524400 EQU524400 FAQ524400 FKM524400 FUI524400 GEE524400 GOA524400 GXW524400 HHS524400 HRO524400 IBK524400 ILG524400 IVC524400 JEY524400 JOU524400 JYQ524400 KIM524400 KSI524400 LCE524400 LMA524400 LVW524400 MFS524400 MPO524400 MZK524400 NJG524400 NTC524400 OCY524400 OMU524400 OWQ524400 PGM524400 PQI524400 QAE524400 QKA524400 QTW524400 RDS524400 RNO524400 RXK524400 SHG524400 SRC524400 TAY524400 TKU524400 TUQ524400 UEM524400 UOI524400 UYE524400 VIA524400 VRW524400 WBS524400 WLO524400 WVK524400 C589936 IY589936 SU589936 ACQ589936 AMM589936 AWI589936 BGE589936 BQA589936 BZW589936 CJS589936 CTO589936 DDK589936 DNG589936 DXC589936 EGY589936 EQU589936 FAQ589936 FKM589936 FUI589936 GEE589936 GOA589936 GXW589936 HHS589936 HRO589936 IBK589936 ILG589936 IVC589936 JEY589936 JOU589936 JYQ589936 KIM589936 KSI589936 LCE589936 LMA589936 LVW589936 MFS589936 MPO589936 MZK589936 NJG589936 NTC589936 OCY589936 OMU589936 OWQ589936 PGM589936 PQI589936 QAE589936 QKA589936 QTW589936 RDS589936 RNO589936 RXK589936 SHG589936 SRC589936 TAY589936 TKU589936 TUQ589936 UEM589936 UOI589936 UYE589936 VIA589936 VRW589936 WBS589936 WLO589936 WVK589936 C655472 IY655472 SU655472 ACQ655472 AMM655472 AWI655472 BGE655472 BQA655472 BZW655472 CJS655472 CTO655472 DDK655472 DNG655472 DXC655472 EGY655472 EQU655472 FAQ655472 FKM655472 FUI655472 GEE655472 GOA655472 GXW655472 HHS655472 HRO655472 IBK655472 ILG655472 IVC655472 JEY655472 JOU655472 JYQ655472 KIM655472 KSI655472 LCE655472 LMA655472 LVW655472 MFS655472 MPO655472 MZK655472 NJG655472 NTC655472 OCY655472 OMU655472 OWQ655472 PGM655472 PQI655472 QAE655472 QKA655472 QTW655472 RDS655472 RNO655472 RXK655472 SHG655472 SRC655472 TAY655472 TKU655472 TUQ655472 UEM655472 UOI655472 UYE655472 VIA655472 VRW655472 WBS655472 WLO655472 WVK655472 C721008 IY721008 SU721008 ACQ721008 AMM721008 AWI721008 BGE721008 BQA721008 BZW721008 CJS721008 CTO721008 DDK721008 DNG721008 DXC721008 EGY721008 EQU721008 FAQ721008 FKM721008 FUI721008 GEE721008 GOA721008 GXW721008 HHS721008 HRO721008 IBK721008 ILG721008 IVC721008 JEY721008 JOU721008 JYQ721008 KIM721008 KSI721008 LCE721008 LMA721008 LVW721008 MFS721008 MPO721008 MZK721008 NJG721008 NTC721008 OCY721008 OMU721008 OWQ721008 PGM721008 PQI721008 QAE721008 QKA721008 QTW721008 RDS721008 RNO721008 RXK721008 SHG721008 SRC721008 TAY721008 TKU721008 TUQ721008 UEM721008 UOI721008 UYE721008 VIA721008 VRW721008 WBS721008 WLO721008 WVK721008 C786544 IY786544 SU786544 ACQ786544 AMM786544 AWI786544 BGE786544 BQA786544 BZW786544 CJS786544 CTO786544 DDK786544 DNG786544 DXC786544 EGY786544 EQU786544 FAQ786544 FKM786544 FUI786544 GEE786544 GOA786544 GXW786544 HHS786544 HRO786544 IBK786544 ILG786544 IVC786544 JEY786544 JOU786544 JYQ786544 KIM786544 KSI786544 LCE786544 LMA786544 LVW786544 MFS786544 MPO786544 MZK786544 NJG786544 NTC786544 OCY786544 OMU786544 OWQ786544 PGM786544 PQI786544 QAE786544 QKA786544 QTW786544 RDS786544 RNO786544 RXK786544 SHG786544 SRC786544 TAY786544 TKU786544 TUQ786544 UEM786544 UOI786544 UYE786544 VIA786544 VRW786544 WBS786544 WLO786544 WVK786544 C852080 IY852080 SU852080 ACQ852080 AMM852080 AWI852080 BGE852080 BQA852080 BZW852080 CJS852080 CTO852080 DDK852080 DNG852080 DXC852080 EGY852080 EQU852080 FAQ852080 FKM852080 FUI852080 GEE852080 GOA852080 GXW852080 HHS852080 HRO852080 IBK852080 ILG852080 IVC852080 JEY852080 JOU852080 JYQ852080 KIM852080 KSI852080 LCE852080 LMA852080 LVW852080 MFS852080 MPO852080 MZK852080 NJG852080 NTC852080 OCY852080 OMU852080 OWQ852080 PGM852080 PQI852080 QAE852080 QKA852080 QTW852080 RDS852080 RNO852080 RXK852080 SHG852080 SRC852080 TAY852080 TKU852080 TUQ852080 UEM852080 UOI852080 UYE852080 VIA852080 VRW852080 WBS852080 WLO852080 WVK852080 C917616 IY917616 SU917616 ACQ917616 AMM917616 AWI917616 BGE917616 BQA917616 BZW917616 CJS917616 CTO917616 DDK917616 DNG917616 DXC917616 EGY917616 EQU917616 FAQ917616 FKM917616 FUI917616 GEE917616 GOA917616 GXW917616 HHS917616 HRO917616 IBK917616 ILG917616 IVC917616 JEY917616 JOU917616 JYQ917616 KIM917616 KSI917616 LCE917616 LMA917616 LVW917616 MFS917616 MPO917616 MZK917616 NJG917616 NTC917616 OCY917616 OMU917616 OWQ917616 PGM917616 PQI917616 QAE917616 QKA917616 QTW917616 RDS917616 RNO917616 RXK917616 SHG917616 SRC917616 TAY917616 TKU917616 TUQ917616 UEM917616 UOI917616 UYE917616 VIA917616 VRW917616 WBS917616 WLO917616 WVK917616 C983152 IY983152 SU983152 ACQ983152 AMM983152 AWI983152 BGE983152 BQA983152 BZW983152 CJS983152 CTO983152 DDK983152 DNG983152 DXC983152 EGY983152 EQU983152 FAQ983152 FKM983152 FUI983152 GEE983152 GOA983152 GXW983152 HHS983152 HRO983152 IBK983152 ILG983152 IVC983152 JEY983152 JOU983152 JYQ983152 KIM983152 KSI983152 LCE983152 LMA983152 LVW983152 MFS983152 MPO983152 MZK983152 NJG983152 NTC983152 OCY983152 OMU983152 OWQ983152 PGM983152 PQI983152 QAE983152 QKA983152 QTW983152 RDS983152 RNO983152 RXK983152 SHG983152 SRC983152 TAY983152 TKU983152 TUQ983152 UEM983152 UOI983152 UYE983152 VIA983152 VRW983152 WBS983152 WLO983152 WVK983152" xr:uid="{03059AEE-96E4-4BB5-8FC6-C6D4024DC65F}">
      <formula1>0</formula1>
      <formula2>10</formula2>
    </dataValidation>
    <dataValidation type="whole" allowBlank="1" showInputMessage="1" showErrorMessage="1" sqref="C145 IY145 SU145 ACQ145 AMM145 AWI145 BGE145 BQA145 BZW145 CJS145 CTO145 DDK145 DNG145 DXC145 EGY145 EQU145 FAQ145 FKM145 FUI145 GEE145 GOA145 GXW145 HHS145 HRO145 IBK145 ILG145 IVC145 JEY145 JOU145 JYQ145 KIM145 KSI145 LCE145 LMA145 LVW145 MFS145 MPO145 MZK145 NJG145 NTC145 OCY145 OMU145 OWQ145 PGM145 PQI145 QAE145 QKA145 QTW145 RDS145 RNO145 RXK145 SHG145 SRC145 TAY145 TKU145 TUQ145 UEM145 UOI145 UYE145 VIA145 VRW145 WBS145 WLO145 WVK145 C65658 IY65658 SU65658 ACQ65658 AMM65658 AWI65658 BGE65658 BQA65658 BZW65658 CJS65658 CTO65658 DDK65658 DNG65658 DXC65658 EGY65658 EQU65658 FAQ65658 FKM65658 FUI65658 GEE65658 GOA65658 GXW65658 HHS65658 HRO65658 IBK65658 ILG65658 IVC65658 JEY65658 JOU65658 JYQ65658 KIM65658 KSI65658 LCE65658 LMA65658 LVW65658 MFS65658 MPO65658 MZK65658 NJG65658 NTC65658 OCY65658 OMU65658 OWQ65658 PGM65658 PQI65658 QAE65658 QKA65658 QTW65658 RDS65658 RNO65658 RXK65658 SHG65658 SRC65658 TAY65658 TKU65658 TUQ65658 UEM65658 UOI65658 UYE65658 VIA65658 VRW65658 WBS65658 WLO65658 WVK65658 C131194 IY131194 SU131194 ACQ131194 AMM131194 AWI131194 BGE131194 BQA131194 BZW131194 CJS131194 CTO131194 DDK131194 DNG131194 DXC131194 EGY131194 EQU131194 FAQ131194 FKM131194 FUI131194 GEE131194 GOA131194 GXW131194 HHS131194 HRO131194 IBK131194 ILG131194 IVC131194 JEY131194 JOU131194 JYQ131194 KIM131194 KSI131194 LCE131194 LMA131194 LVW131194 MFS131194 MPO131194 MZK131194 NJG131194 NTC131194 OCY131194 OMU131194 OWQ131194 PGM131194 PQI131194 QAE131194 QKA131194 QTW131194 RDS131194 RNO131194 RXK131194 SHG131194 SRC131194 TAY131194 TKU131194 TUQ131194 UEM131194 UOI131194 UYE131194 VIA131194 VRW131194 WBS131194 WLO131194 WVK131194 C196730 IY196730 SU196730 ACQ196730 AMM196730 AWI196730 BGE196730 BQA196730 BZW196730 CJS196730 CTO196730 DDK196730 DNG196730 DXC196730 EGY196730 EQU196730 FAQ196730 FKM196730 FUI196730 GEE196730 GOA196730 GXW196730 HHS196730 HRO196730 IBK196730 ILG196730 IVC196730 JEY196730 JOU196730 JYQ196730 KIM196730 KSI196730 LCE196730 LMA196730 LVW196730 MFS196730 MPO196730 MZK196730 NJG196730 NTC196730 OCY196730 OMU196730 OWQ196730 PGM196730 PQI196730 QAE196730 QKA196730 QTW196730 RDS196730 RNO196730 RXK196730 SHG196730 SRC196730 TAY196730 TKU196730 TUQ196730 UEM196730 UOI196730 UYE196730 VIA196730 VRW196730 WBS196730 WLO196730 WVK196730 C262266 IY262266 SU262266 ACQ262266 AMM262266 AWI262266 BGE262266 BQA262266 BZW262266 CJS262266 CTO262266 DDK262266 DNG262266 DXC262266 EGY262266 EQU262266 FAQ262266 FKM262266 FUI262266 GEE262266 GOA262266 GXW262266 HHS262266 HRO262266 IBK262266 ILG262266 IVC262266 JEY262266 JOU262266 JYQ262266 KIM262266 KSI262266 LCE262266 LMA262266 LVW262266 MFS262266 MPO262266 MZK262266 NJG262266 NTC262266 OCY262266 OMU262266 OWQ262266 PGM262266 PQI262266 QAE262266 QKA262266 QTW262266 RDS262266 RNO262266 RXK262266 SHG262266 SRC262266 TAY262266 TKU262266 TUQ262266 UEM262266 UOI262266 UYE262266 VIA262266 VRW262266 WBS262266 WLO262266 WVK262266 C327802 IY327802 SU327802 ACQ327802 AMM327802 AWI327802 BGE327802 BQA327802 BZW327802 CJS327802 CTO327802 DDK327802 DNG327802 DXC327802 EGY327802 EQU327802 FAQ327802 FKM327802 FUI327802 GEE327802 GOA327802 GXW327802 HHS327802 HRO327802 IBK327802 ILG327802 IVC327802 JEY327802 JOU327802 JYQ327802 KIM327802 KSI327802 LCE327802 LMA327802 LVW327802 MFS327802 MPO327802 MZK327802 NJG327802 NTC327802 OCY327802 OMU327802 OWQ327802 PGM327802 PQI327802 QAE327802 QKA327802 QTW327802 RDS327802 RNO327802 RXK327802 SHG327802 SRC327802 TAY327802 TKU327802 TUQ327802 UEM327802 UOI327802 UYE327802 VIA327802 VRW327802 WBS327802 WLO327802 WVK327802 C393338 IY393338 SU393338 ACQ393338 AMM393338 AWI393338 BGE393338 BQA393338 BZW393338 CJS393338 CTO393338 DDK393338 DNG393338 DXC393338 EGY393338 EQU393338 FAQ393338 FKM393338 FUI393338 GEE393338 GOA393338 GXW393338 HHS393338 HRO393338 IBK393338 ILG393338 IVC393338 JEY393338 JOU393338 JYQ393338 KIM393338 KSI393338 LCE393338 LMA393338 LVW393338 MFS393338 MPO393338 MZK393338 NJG393338 NTC393338 OCY393338 OMU393338 OWQ393338 PGM393338 PQI393338 QAE393338 QKA393338 QTW393338 RDS393338 RNO393338 RXK393338 SHG393338 SRC393338 TAY393338 TKU393338 TUQ393338 UEM393338 UOI393338 UYE393338 VIA393338 VRW393338 WBS393338 WLO393338 WVK393338 C458874 IY458874 SU458874 ACQ458874 AMM458874 AWI458874 BGE458874 BQA458874 BZW458874 CJS458874 CTO458874 DDK458874 DNG458874 DXC458874 EGY458874 EQU458874 FAQ458874 FKM458874 FUI458874 GEE458874 GOA458874 GXW458874 HHS458874 HRO458874 IBK458874 ILG458874 IVC458874 JEY458874 JOU458874 JYQ458874 KIM458874 KSI458874 LCE458874 LMA458874 LVW458874 MFS458874 MPO458874 MZK458874 NJG458874 NTC458874 OCY458874 OMU458874 OWQ458874 PGM458874 PQI458874 QAE458874 QKA458874 QTW458874 RDS458874 RNO458874 RXK458874 SHG458874 SRC458874 TAY458874 TKU458874 TUQ458874 UEM458874 UOI458874 UYE458874 VIA458874 VRW458874 WBS458874 WLO458874 WVK458874 C524410 IY524410 SU524410 ACQ524410 AMM524410 AWI524410 BGE524410 BQA524410 BZW524410 CJS524410 CTO524410 DDK524410 DNG524410 DXC524410 EGY524410 EQU524410 FAQ524410 FKM524410 FUI524410 GEE524410 GOA524410 GXW524410 HHS524410 HRO524410 IBK524410 ILG524410 IVC524410 JEY524410 JOU524410 JYQ524410 KIM524410 KSI524410 LCE524410 LMA524410 LVW524410 MFS524410 MPO524410 MZK524410 NJG524410 NTC524410 OCY524410 OMU524410 OWQ524410 PGM524410 PQI524410 QAE524410 QKA524410 QTW524410 RDS524410 RNO524410 RXK524410 SHG524410 SRC524410 TAY524410 TKU524410 TUQ524410 UEM524410 UOI524410 UYE524410 VIA524410 VRW524410 WBS524410 WLO524410 WVK524410 C589946 IY589946 SU589946 ACQ589946 AMM589946 AWI589946 BGE589946 BQA589946 BZW589946 CJS589946 CTO589946 DDK589946 DNG589946 DXC589946 EGY589946 EQU589946 FAQ589946 FKM589946 FUI589946 GEE589946 GOA589946 GXW589946 HHS589946 HRO589946 IBK589946 ILG589946 IVC589946 JEY589946 JOU589946 JYQ589946 KIM589946 KSI589946 LCE589946 LMA589946 LVW589946 MFS589946 MPO589946 MZK589946 NJG589946 NTC589946 OCY589946 OMU589946 OWQ589946 PGM589946 PQI589946 QAE589946 QKA589946 QTW589946 RDS589946 RNO589946 RXK589946 SHG589946 SRC589946 TAY589946 TKU589946 TUQ589946 UEM589946 UOI589946 UYE589946 VIA589946 VRW589946 WBS589946 WLO589946 WVK589946 C655482 IY655482 SU655482 ACQ655482 AMM655482 AWI655482 BGE655482 BQA655482 BZW655482 CJS655482 CTO655482 DDK655482 DNG655482 DXC655482 EGY655482 EQU655482 FAQ655482 FKM655482 FUI655482 GEE655482 GOA655482 GXW655482 HHS655482 HRO655482 IBK655482 ILG655482 IVC655482 JEY655482 JOU655482 JYQ655482 KIM655482 KSI655482 LCE655482 LMA655482 LVW655482 MFS655482 MPO655482 MZK655482 NJG655482 NTC655482 OCY655482 OMU655482 OWQ655482 PGM655482 PQI655482 QAE655482 QKA655482 QTW655482 RDS655482 RNO655482 RXK655482 SHG655482 SRC655482 TAY655482 TKU655482 TUQ655482 UEM655482 UOI655482 UYE655482 VIA655482 VRW655482 WBS655482 WLO655482 WVK655482 C721018 IY721018 SU721018 ACQ721018 AMM721018 AWI721018 BGE721018 BQA721018 BZW721018 CJS721018 CTO721018 DDK721018 DNG721018 DXC721018 EGY721018 EQU721018 FAQ721018 FKM721018 FUI721018 GEE721018 GOA721018 GXW721018 HHS721018 HRO721018 IBK721018 ILG721018 IVC721018 JEY721018 JOU721018 JYQ721018 KIM721018 KSI721018 LCE721018 LMA721018 LVW721018 MFS721018 MPO721018 MZK721018 NJG721018 NTC721018 OCY721018 OMU721018 OWQ721018 PGM721018 PQI721018 QAE721018 QKA721018 QTW721018 RDS721018 RNO721018 RXK721018 SHG721018 SRC721018 TAY721018 TKU721018 TUQ721018 UEM721018 UOI721018 UYE721018 VIA721018 VRW721018 WBS721018 WLO721018 WVK721018 C786554 IY786554 SU786554 ACQ786554 AMM786554 AWI786554 BGE786554 BQA786554 BZW786554 CJS786554 CTO786554 DDK786554 DNG786554 DXC786554 EGY786554 EQU786554 FAQ786554 FKM786554 FUI786554 GEE786554 GOA786554 GXW786554 HHS786554 HRO786554 IBK786554 ILG786554 IVC786554 JEY786554 JOU786554 JYQ786554 KIM786554 KSI786554 LCE786554 LMA786554 LVW786554 MFS786554 MPO786554 MZK786554 NJG786554 NTC786554 OCY786554 OMU786554 OWQ786554 PGM786554 PQI786554 QAE786554 QKA786554 QTW786554 RDS786554 RNO786554 RXK786554 SHG786554 SRC786554 TAY786554 TKU786554 TUQ786554 UEM786554 UOI786554 UYE786554 VIA786554 VRW786554 WBS786554 WLO786554 WVK786554 C852090 IY852090 SU852090 ACQ852090 AMM852090 AWI852090 BGE852090 BQA852090 BZW852090 CJS852090 CTO852090 DDK852090 DNG852090 DXC852090 EGY852090 EQU852090 FAQ852090 FKM852090 FUI852090 GEE852090 GOA852090 GXW852090 HHS852090 HRO852090 IBK852090 ILG852090 IVC852090 JEY852090 JOU852090 JYQ852090 KIM852090 KSI852090 LCE852090 LMA852090 LVW852090 MFS852090 MPO852090 MZK852090 NJG852090 NTC852090 OCY852090 OMU852090 OWQ852090 PGM852090 PQI852090 QAE852090 QKA852090 QTW852090 RDS852090 RNO852090 RXK852090 SHG852090 SRC852090 TAY852090 TKU852090 TUQ852090 UEM852090 UOI852090 UYE852090 VIA852090 VRW852090 WBS852090 WLO852090 WVK852090 C917626 IY917626 SU917626 ACQ917626 AMM917626 AWI917626 BGE917626 BQA917626 BZW917626 CJS917626 CTO917626 DDK917626 DNG917626 DXC917626 EGY917626 EQU917626 FAQ917626 FKM917626 FUI917626 GEE917626 GOA917626 GXW917626 HHS917626 HRO917626 IBK917626 ILG917626 IVC917626 JEY917626 JOU917626 JYQ917626 KIM917626 KSI917626 LCE917626 LMA917626 LVW917626 MFS917626 MPO917626 MZK917626 NJG917626 NTC917626 OCY917626 OMU917626 OWQ917626 PGM917626 PQI917626 QAE917626 QKA917626 QTW917626 RDS917626 RNO917626 RXK917626 SHG917626 SRC917626 TAY917626 TKU917626 TUQ917626 UEM917626 UOI917626 UYE917626 VIA917626 VRW917626 WBS917626 WLO917626 WVK917626 C983162 IY983162 SU983162 ACQ983162 AMM983162 AWI983162 BGE983162 BQA983162 BZW983162 CJS983162 CTO983162 DDK983162 DNG983162 DXC983162 EGY983162 EQU983162 FAQ983162 FKM983162 FUI983162 GEE983162 GOA983162 GXW983162 HHS983162 HRO983162 IBK983162 ILG983162 IVC983162 JEY983162 JOU983162 JYQ983162 KIM983162 KSI983162 LCE983162 LMA983162 LVW983162 MFS983162 MPO983162 MZK983162 NJG983162 NTC983162 OCY983162 OMU983162 OWQ983162 PGM983162 PQI983162 QAE983162 QKA983162 QTW983162 RDS983162 RNO983162 RXK983162 SHG983162 SRC983162 TAY983162 TKU983162 TUQ983162 UEM983162 UOI983162 UYE983162 VIA983162 VRW983162 WBS983162 WLO983162 WVK983162" xr:uid="{9523D57C-7E2D-469F-A5F1-A0631F1321CF}">
      <formula1>0</formula1>
      <formula2>100</formula2>
    </dataValidation>
    <dataValidation type="list" allowBlank="1" showInputMessage="1" showErrorMessage="1" sqref="C163 IY163 SU163 ACQ163 AMM163 AWI163 BGE163 BQA163 BZW163 CJS163 CTO163 DDK163 DNG163 DXC163 EGY163 EQU163 FAQ163 FKM163 FUI163 GEE163 GOA163 GXW163 HHS163 HRO163 IBK163 ILG163 IVC163 JEY163 JOU163 JYQ163 KIM163 KSI163 LCE163 LMA163 LVW163 MFS163 MPO163 MZK163 NJG163 NTC163 OCY163 OMU163 OWQ163 PGM163 PQI163 QAE163 QKA163 QTW163 RDS163 RNO163 RXK163 SHG163 SRC163 TAY163 TKU163 TUQ163 UEM163 UOI163 UYE163 VIA163 VRW163 WBS163 WLO163 WVK163 C65676 IY65676 SU65676 ACQ65676 AMM65676 AWI65676 BGE65676 BQA65676 BZW65676 CJS65676 CTO65676 DDK65676 DNG65676 DXC65676 EGY65676 EQU65676 FAQ65676 FKM65676 FUI65676 GEE65676 GOA65676 GXW65676 HHS65676 HRO65676 IBK65676 ILG65676 IVC65676 JEY65676 JOU65676 JYQ65676 KIM65676 KSI65676 LCE65676 LMA65676 LVW65676 MFS65676 MPO65676 MZK65676 NJG65676 NTC65676 OCY65676 OMU65676 OWQ65676 PGM65676 PQI65676 QAE65676 QKA65676 QTW65676 RDS65676 RNO65676 RXK65676 SHG65676 SRC65676 TAY65676 TKU65676 TUQ65676 UEM65676 UOI65676 UYE65676 VIA65676 VRW65676 WBS65676 WLO65676 WVK65676 C131212 IY131212 SU131212 ACQ131212 AMM131212 AWI131212 BGE131212 BQA131212 BZW131212 CJS131212 CTO131212 DDK131212 DNG131212 DXC131212 EGY131212 EQU131212 FAQ131212 FKM131212 FUI131212 GEE131212 GOA131212 GXW131212 HHS131212 HRO131212 IBK131212 ILG131212 IVC131212 JEY131212 JOU131212 JYQ131212 KIM131212 KSI131212 LCE131212 LMA131212 LVW131212 MFS131212 MPO131212 MZK131212 NJG131212 NTC131212 OCY131212 OMU131212 OWQ131212 PGM131212 PQI131212 QAE131212 QKA131212 QTW131212 RDS131212 RNO131212 RXK131212 SHG131212 SRC131212 TAY131212 TKU131212 TUQ131212 UEM131212 UOI131212 UYE131212 VIA131212 VRW131212 WBS131212 WLO131212 WVK131212 C196748 IY196748 SU196748 ACQ196748 AMM196748 AWI196748 BGE196748 BQA196748 BZW196748 CJS196748 CTO196748 DDK196748 DNG196748 DXC196748 EGY196748 EQU196748 FAQ196748 FKM196748 FUI196748 GEE196748 GOA196748 GXW196748 HHS196748 HRO196748 IBK196748 ILG196748 IVC196748 JEY196748 JOU196748 JYQ196748 KIM196748 KSI196748 LCE196748 LMA196748 LVW196748 MFS196748 MPO196748 MZK196748 NJG196748 NTC196748 OCY196748 OMU196748 OWQ196748 PGM196748 PQI196748 QAE196748 QKA196748 QTW196748 RDS196748 RNO196748 RXK196748 SHG196748 SRC196748 TAY196748 TKU196748 TUQ196748 UEM196748 UOI196748 UYE196748 VIA196748 VRW196748 WBS196748 WLO196748 WVK196748 C262284 IY262284 SU262284 ACQ262284 AMM262284 AWI262284 BGE262284 BQA262284 BZW262284 CJS262284 CTO262284 DDK262284 DNG262284 DXC262284 EGY262284 EQU262284 FAQ262284 FKM262284 FUI262284 GEE262284 GOA262284 GXW262284 HHS262284 HRO262284 IBK262284 ILG262284 IVC262284 JEY262284 JOU262284 JYQ262284 KIM262284 KSI262284 LCE262284 LMA262284 LVW262284 MFS262284 MPO262284 MZK262284 NJG262284 NTC262284 OCY262284 OMU262284 OWQ262284 PGM262284 PQI262284 QAE262284 QKA262284 QTW262284 RDS262284 RNO262284 RXK262284 SHG262284 SRC262284 TAY262284 TKU262284 TUQ262284 UEM262284 UOI262284 UYE262284 VIA262284 VRW262284 WBS262284 WLO262284 WVK262284 C327820 IY327820 SU327820 ACQ327820 AMM327820 AWI327820 BGE327820 BQA327820 BZW327820 CJS327820 CTO327820 DDK327820 DNG327820 DXC327820 EGY327820 EQU327820 FAQ327820 FKM327820 FUI327820 GEE327820 GOA327820 GXW327820 HHS327820 HRO327820 IBK327820 ILG327820 IVC327820 JEY327820 JOU327820 JYQ327820 KIM327820 KSI327820 LCE327820 LMA327820 LVW327820 MFS327820 MPO327820 MZK327820 NJG327820 NTC327820 OCY327820 OMU327820 OWQ327820 PGM327820 PQI327820 QAE327820 QKA327820 QTW327820 RDS327820 RNO327820 RXK327820 SHG327820 SRC327820 TAY327820 TKU327820 TUQ327820 UEM327820 UOI327820 UYE327820 VIA327820 VRW327820 WBS327820 WLO327820 WVK327820 C393356 IY393356 SU393356 ACQ393356 AMM393356 AWI393356 BGE393356 BQA393356 BZW393356 CJS393356 CTO393356 DDK393356 DNG393356 DXC393356 EGY393356 EQU393356 FAQ393356 FKM393356 FUI393356 GEE393356 GOA393356 GXW393356 HHS393356 HRO393356 IBK393356 ILG393356 IVC393356 JEY393356 JOU393356 JYQ393356 KIM393356 KSI393356 LCE393356 LMA393356 LVW393356 MFS393356 MPO393356 MZK393356 NJG393356 NTC393356 OCY393356 OMU393356 OWQ393356 PGM393356 PQI393356 QAE393356 QKA393356 QTW393356 RDS393356 RNO393356 RXK393356 SHG393356 SRC393356 TAY393356 TKU393356 TUQ393356 UEM393356 UOI393356 UYE393356 VIA393356 VRW393356 WBS393356 WLO393356 WVK393356 C458892 IY458892 SU458892 ACQ458892 AMM458892 AWI458892 BGE458892 BQA458892 BZW458892 CJS458892 CTO458892 DDK458892 DNG458892 DXC458892 EGY458892 EQU458892 FAQ458892 FKM458892 FUI458892 GEE458892 GOA458892 GXW458892 HHS458892 HRO458892 IBK458892 ILG458892 IVC458892 JEY458892 JOU458892 JYQ458892 KIM458892 KSI458892 LCE458892 LMA458892 LVW458892 MFS458892 MPO458892 MZK458892 NJG458892 NTC458892 OCY458892 OMU458892 OWQ458892 PGM458892 PQI458892 QAE458892 QKA458892 QTW458892 RDS458892 RNO458892 RXK458892 SHG458892 SRC458892 TAY458892 TKU458892 TUQ458892 UEM458892 UOI458892 UYE458892 VIA458892 VRW458892 WBS458892 WLO458892 WVK458892 C524428 IY524428 SU524428 ACQ524428 AMM524428 AWI524428 BGE524428 BQA524428 BZW524428 CJS524428 CTO524428 DDK524428 DNG524428 DXC524428 EGY524428 EQU524428 FAQ524428 FKM524428 FUI524428 GEE524428 GOA524428 GXW524428 HHS524428 HRO524428 IBK524428 ILG524428 IVC524428 JEY524428 JOU524428 JYQ524428 KIM524428 KSI524428 LCE524428 LMA524428 LVW524428 MFS524428 MPO524428 MZK524428 NJG524428 NTC524428 OCY524428 OMU524428 OWQ524428 PGM524428 PQI524428 QAE524428 QKA524428 QTW524428 RDS524428 RNO524428 RXK524428 SHG524428 SRC524428 TAY524428 TKU524428 TUQ524428 UEM524428 UOI524428 UYE524428 VIA524428 VRW524428 WBS524428 WLO524428 WVK524428 C589964 IY589964 SU589964 ACQ589964 AMM589964 AWI589964 BGE589964 BQA589964 BZW589964 CJS589964 CTO589964 DDK589964 DNG589964 DXC589964 EGY589964 EQU589964 FAQ589964 FKM589964 FUI589964 GEE589964 GOA589964 GXW589964 HHS589964 HRO589964 IBK589964 ILG589964 IVC589964 JEY589964 JOU589964 JYQ589964 KIM589964 KSI589964 LCE589964 LMA589964 LVW589964 MFS589964 MPO589964 MZK589964 NJG589964 NTC589964 OCY589964 OMU589964 OWQ589964 PGM589964 PQI589964 QAE589964 QKA589964 QTW589964 RDS589964 RNO589964 RXK589964 SHG589964 SRC589964 TAY589964 TKU589964 TUQ589964 UEM589964 UOI589964 UYE589964 VIA589964 VRW589964 WBS589964 WLO589964 WVK589964 C655500 IY655500 SU655500 ACQ655500 AMM655500 AWI655500 BGE655500 BQA655500 BZW655500 CJS655500 CTO655500 DDK655500 DNG655500 DXC655500 EGY655500 EQU655500 FAQ655500 FKM655500 FUI655500 GEE655500 GOA655500 GXW655500 HHS655500 HRO655500 IBK655500 ILG655500 IVC655500 JEY655500 JOU655500 JYQ655500 KIM655500 KSI655500 LCE655500 LMA655500 LVW655500 MFS655500 MPO655500 MZK655500 NJG655500 NTC655500 OCY655500 OMU655500 OWQ655500 PGM655500 PQI655500 QAE655500 QKA655500 QTW655500 RDS655500 RNO655500 RXK655500 SHG655500 SRC655500 TAY655500 TKU655500 TUQ655500 UEM655500 UOI655500 UYE655500 VIA655500 VRW655500 WBS655500 WLO655500 WVK655500 C721036 IY721036 SU721036 ACQ721036 AMM721036 AWI721036 BGE721036 BQA721036 BZW721036 CJS721036 CTO721036 DDK721036 DNG721036 DXC721036 EGY721036 EQU721036 FAQ721036 FKM721036 FUI721036 GEE721036 GOA721036 GXW721036 HHS721036 HRO721036 IBK721036 ILG721036 IVC721036 JEY721036 JOU721036 JYQ721036 KIM721036 KSI721036 LCE721036 LMA721036 LVW721036 MFS721036 MPO721036 MZK721036 NJG721036 NTC721036 OCY721036 OMU721036 OWQ721036 PGM721036 PQI721036 QAE721036 QKA721036 QTW721036 RDS721036 RNO721036 RXK721036 SHG721036 SRC721036 TAY721036 TKU721036 TUQ721036 UEM721036 UOI721036 UYE721036 VIA721036 VRW721036 WBS721036 WLO721036 WVK721036 C786572 IY786572 SU786572 ACQ786572 AMM786572 AWI786572 BGE786572 BQA786572 BZW786572 CJS786572 CTO786572 DDK786572 DNG786572 DXC786572 EGY786572 EQU786572 FAQ786572 FKM786572 FUI786572 GEE786572 GOA786572 GXW786572 HHS786572 HRO786572 IBK786572 ILG786572 IVC786572 JEY786572 JOU786572 JYQ786572 KIM786572 KSI786572 LCE786572 LMA786572 LVW786572 MFS786572 MPO786572 MZK786572 NJG786572 NTC786572 OCY786572 OMU786572 OWQ786572 PGM786572 PQI786572 QAE786572 QKA786572 QTW786572 RDS786572 RNO786572 RXK786572 SHG786572 SRC786572 TAY786572 TKU786572 TUQ786572 UEM786572 UOI786572 UYE786572 VIA786572 VRW786572 WBS786572 WLO786572 WVK786572 C852108 IY852108 SU852108 ACQ852108 AMM852108 AWI852108 BGE852108 BQA852108 BZW852108 CJS852108 CTO852108 DDK852108 DNG852108 DXC852108 EGY852108 EQU852108 FAQ852108 FKM852108 FUI852108 GEE852108 GOA852108 GXW852108 HHS852108 HRO852108 IBK852108 ILG852108 IVC852108 JEY852108 JOU852108 JYQ852108 KIM852108 KSI852108 LCE852108 LMA852108 LVW852108 MFS852108 MPO852108 MZK852108 NJG852108 NTC852108 OCY852108 OMU852108 OWQ852108 PGM852108 PQI852108 QAE852108 QKA852108 QTW852108 RDS852108 RNO852108 RXK852108 SHG852108 SRC852108 TAY852108 TKU852108 TUQ852108 UEM852108 UOI852108 UYE852108 VIA852108 VRW852108 WBS852108 WLO852108 WVK852108 C917644 IY917644 SU917644 ACQ917644 AMM917644 AWI917644 BGE917644 BQA917644 BZW917644 CJS917644 CTO917644 DDK917644 DNG917644 DXC917644 EGY917644 EQU917644 FAQ917644 FKM917644 FUI917644 GEE917644 GOA917644 GXW917644 HHS917644 HRO917644 IBK917644 ILG917644 IVC917644 JEY917644 JOU917644 JYQ917644 KIM917644 KSI917644 LCE917644 LMA917644 LVW917644 MFS917644 MPO917644 MZK917644 NJG917644 NTC917644 OCY917644 OMU917644 OWQ917644 PGM917644 PQI917644 QAE917644 QKA917644 QTW917644 RDS917644 RNO917644 RXK917644 SHG917644 SRC917644 TAY917644 TKU917644 TUQ917644 UEM917644 UOI917644 UYE917644 VIA917644 VRW917644 WBS917644 WLO917644 WVK917644 C983180 IY983180 SU983180 ACQ983180 AMM983180 AWI983180 BGE983180 BQA983180 BZW983180 CJS983180 CTO983180 DDK983180 DNG983180 DXC983180 EGY983180 EQU983180 FAQ983180 FKM983180 FUI983180 GEE983180 GOA983180 GXW983180 HHS983180 HRO983180 IBK983180 ILG983180 IVC983180 JEY983180 JOU983180 JYQ983180 KIM983180 KSI983180 LCE983180 LMA983180 LVW983180 MFS983180 MPO983180 MZK983180 NJG983180 NTC983180 OCY983180 OMU983180 OWQ983180 PGM983180 PQI983180 QAE983180 QKA983180 QTW983180 RDS983180 RNO983180 RXK983180 SHG983180 SRC983180 TAY983180 TKU983180 TUQ983180 UEM983180 UOI983180 UYE983180 VIA983180 VRW983180 WBS983180 WLO983180 WVK983180" xr:uid="{2472C791-4412-4EF2-8B42-A73E17175207}">
      <formula1>$J$163:$J$165</formula1>
    </dataValidation>
    <dataValidation type="list" allowBlank="1" showInputMessage="1" errorTitle="Error" sqref="C183 IY183 SU183 ACQ183 AMM183 AWI183 BGE183 BQA183 BZW183 CJS183 CTO183 DDK183 DNG183 DXC183 EGY183 EQU183 FAQ183 FKM183 FUI183 GEE183 GOA183 GXW183 HHS183 HRO183 IBK183 ILG183 IVC183 JEY183 JOU183 JYQ183 KIM183 KSI183 LCE183 LMA183 LVW183 MFS183 MPO183 MZK183 NJG183 NTC183 OCY183 OMU183 OWQ183 PGM183 PQI183 QAE183 QKA183 QTW183 RDS183 RNO183 RXK183 SHG183 SRC183 TAY183 TKU183 TUQ183 UEM183 UOI183 UYE183 VIA183 VRW183 WBS183 WLO183 WVK183 C65696 IY65696 SU65696 ACQ65696 AMM65696 AWI65696 BGE65696 BQA65696 BZW65696 CJS65696 CTO65696 DDK65696 DNG65696 DXC65696 EGY65696 EQU65696 FAQ65696 FKM65696 FUI65696 GEE65696 GOA65696 GXW65696 HHS65696 HRO65696 IBK65696 ILG65696 IVC65696 JEY65696 JOU65696 JYQ65696 KIM65696 KSI65696 LCE65696 LMA65696 LVW65696 MFS65696 MPO65696 MZK65696 NJG65696 NTC65696 OCY65696 OMU65696 OWQ65696 PGM65696 PQI65696 QAE65696 QKA65696 QTW65696 RDS65696 RNO65696 RXK65696 SHG65696 SRC65696 TAY65696 TKU65696 TUQ65696 UEM65696 UOI65696 UYE65696 VIA65696 VRW65696 WBS65696 WLO65696 WVK65696 C131232 IY131232 SU131232 ACQ131232 AMM131232 AWI131232 BGE131232 BQA131232 BZW131232 CJS131232 CTO131232 DDK131232 DNG131232 DXC131232 EGY131232 EQU131232 FAQ131232 FKM131232 FUI131232 GEE131232 GOA131232 GXW131232 HHS131232 HRO131232 IBK131232 ILG131232 IVC131232 JEY131232 JOU131232 JYQ131232 KIM131232 KSI131232 LCE131232 LMA131232 LVW131232 MFS131232 MPO131232 MZK131232 NJG131232 NTC131232 OCY131232 OMU131232 OWQ131232 PGM131232 PQI131232 QAE131232 QKA131232 QTW131232 RDS131232 RNO131232 RXK131232 SHG131232 SRC131232 TAY131232 TKU131232 TUQ131232 UEM131232 UOI131232 UYE131232 VIA131232 VRW131232 WBS131232 WLO131232 WVK131232 C196768 IY196768 SU196768 ACQ196768 AMM196768 AWI196768 BGE196768 BQA196768 BZW196768 CJS196768 CTO196768 DDK196768 DNG196768 DXC196768 EGY196768 EQU196768 FAQ196768 FKM196768 FUI196768 GEE196768 GOA196768 GXW196768 HHS196768 HRO196768 IBK196768 ILG196768 IVC196768 JEY196768 JOU196768 JYQ196768 KIM196768 KSI196768 LCE196768 LMA196768 LVW196768 MFS196768 MPO196768 MZK196768 NJG196768 NTC196768 OCY196768 OMU196768 OWQ196768 PGM196768 PQI196768 QAE196768 QKA196768 QTW196768 RDS196768 RNO196768 RXK196768 SHG196768 SRC196768 TAY196768 TKU196768 TUQ196768 UEM196768 UOI196768 UYE196768 VIA196768 VRW196768 WBS196768 WLO196768 WVK196768 C262304 IY262304 SU262304 ACQ262304 AMM262304 AWI262304 BGE262304 BQA262304 BZW262304 CJS262304 CTO262304 DDK262304 DNG262304 DXC262304 EGY262304 EQU262304 FAQ262304 FKM262304 FUI262304 GEE262304 GOA262304 GXW262304 HHS262304 HRO262304 IBK262304 ILG262304 IVC262304 JEY262304 JOU262304 JYQ262304 KIM262304 KSI262304 LCE262304 LMA262304 LVW262304 MFS262304 MPO262304 MZK262304 NJG262304 NTC262304 OCY262304 OMU262304 OWQ262304 PGM262304 PQI262304 QAE262304 QKA262304 QTW262304 RDS262304 RNO262304 RXK262304 SHG262304 SRC262304 TAY262304 TKU262304 TUQ262304 UEM262304 UOI262304 UYE262304 VIA262304 VRW262304 WBS262304 WLO262304 WVK262304 C327840 IY327840 SU327840 ACQ327840 AMM327840 AWI327840 BGE327840 BQA327840 BZW327840 CJS327840 CTO327840 DDK327840 DNG327840 DXC327840 EGY327840 EQU327840 FAQ327840 FKM327840 FUI327840 GEE327840 GOA327840 GXW327840 HHS327840 HRO327840 IBK327840 ILG327840 IVC327840 JEY327840 JOU327840 JYQ327840 KIM327840 KSI327840 LCE327840 LMA327840 LVW327840 MFS327840 MPO327840 MZK327840 NJG327840 NTC327840 OCY327840 OMU327840 OWQ327840 PGM327840 PQI327840 QAE327840 QKA327840 QTW327840 RDS327840 RNO327840 RXK327840 SHG327840 SRC327840 TAY327840 TKU327840 TUQ327840 UEM327840 UOI327840 UYE327840 VIA327840 VRW327840 WBS327840 WLO327840 WVK327840 C393376 IY393376 SU393376 ACQ393376 AMM393376 AWI393376 BGE393376 BQA393376 BZW393376 CJS393376 CTO393376 DDK393376 DNG393376 DXC393376 EGY393376 EQU393376 FAQ393376 FKM393376 FUI393376 GEE393376 GOA393376 GXW393376 HHS393376 HRO393376 IBK393376 ILG393376 IVC393376 JEY393376 JOU393376 JYQ393376 KIM393376 KSI393376 LCE393376 LMA393376 LVW393376 MFS393376 MPO393376 MZK393376 NJG393376 NTC393376 OCY393376 OMU393376 OWQ393376 PGM393376 PQI393376 QAE393376 QKA393376 QTW393376 RDS393376 RNO393376 RXK393376 SHG393376 SRC393376 TAY393376 TKU393376 TUQ393376 UEM393376 UOI393376 UYE393376 VIA393376 VRW393376 WBS393376 WLO393376 WVK393376 C458912 IY458912 SU458912 ACQ458912 AMM458912 AWI458912 BGE458912 BQA458912 BZW458912 CJS458912 CTO458912 DDK458912 DNG458912 DXC458912 EGY458912 EQU458912 FAQ458912 FKM458912 FUI458912 GEE458912 GOA458912 GXW458912 HHS458912 HRO458912 IBK458912 ILG458912 IVC458912 JEY458912 JOU458912 JYQ458912 KIM458912 KSI458912 LCE458912 LMA458912 LVW458912 MFS458912 MPO458912 MZK458912 NJG458912 NTC458912 OCY458912 OMU458912 OWQ458912 PGM458912 PQI458912 QAE458912 QKA458912 QTW458912 RDS458912 RNO458912 RXK458912 SHG458912 SRC458912 TAY458912 TKU458912 TUQ458912 UEM458912 UOI458912 UYE458912 VIA458912 VRW458912 WBS458912 WLO458912 WVK458912 C524448 IY524448 SU524448 ACQ524448 AMM524448 AWI524448 BGE524448 BQA524448 BZW524448 CJS524448 CTO524448 DDK524448 DNG524448 DXC524448 EGY524448 EQU524448 FAQ524448 FKM524448 FUI524448 GEE524448 GOA524448 GXW524448 HHS524448 HRO524448 IBK524448 ILG524448 IVC524448 JEY524448 JOU524448 JYQ524448 KIM524448 KSI524448 LCE524448 LMA524448 LVW524448 MFS524448 MPO524448 MZK524448 NJG524448 NTC524448 OCY524448 OMU524448 OWQ524448 PGM524448 PQI524448 QAE524448 QKA524448 QTW524448 RDS524448 RNO524448 RXK524448 SHG524448 SRC524448 TAY524448 TKU524448 TUQ524448 UEM524448 UOI524448 UYE524448 VIA524448 VRW524448 WBS524448 WLO524448 WVK524448 C589984 IY589984 SU589984 ACQ589984 AMM589984 AWI589984 BGE589984 BQA589984 BZW589984 CJS589984 CTO589984 DDK589984 DNG589984 DXC589984 EGY589984 EQU589984 FAQ589984 FKM589984 FUI589984 GEE589984 GOA589984 GXW589984 HHS589984 HRO589984 IBK589984 ILG589984 IVC589984 JEY589984 JOU589984 JYQ589984 KIM589984 KSI589984 LCE589984 LMA589984 LVW589984 MFS589984 MPO589984 MZK589984 NJG589984 NTC589984 OCY589984 OMU589984 OWQ589984 PGM589984 PQI589984 QAE589984 QKA589984 QTW589984 RDS589984 RNO589984 RXK589984 SHG589984 SRC589984 TAY589984 TKU589984 TUQ589984 UEM589984 UOI589984 UYE589984 VIA589984 VRW589984 WBS589984 WLO589984 WVK589984 C655520 IY655520 SU655520 ACQ655520 AMM655520 AWI655520 BGE655520 BQA655520 BZW655520 CJS655520 CTO655520 DDK655520 DNG655520 DXC655520 EGY655520 EQU655520 FAQ655520 FKM655520 FUI655520 GEE655520 GOA655520 GXW655520 HHS655520 HRO655520 IBK655520 ILG655520 IVC655520 JEY655520 JOU655520 JYQ655520 KIM655520 KSI655520 LCE655520 LMA655520 LVW655520 MFS655520 MPO655520 MZK655520 NJG655520 NTC655520 OCY655520 OMU655520 OWQ655520 PGM655520 PQI655520 QAE655520 QKA655520 QTW655520 RDS655520 RNO655520 RXK655520 SHG655520 SRC655520 TAY655520 TKU655520 TUQ655520 UEM655520 UOI655520 UYE655520 VIA655520 VRW655520 WBS655520 WLO655520 WVK655520 C721056 IY721056 SU721056 ACQ721056 AMM721056 AWI721056 BGE721056 BQA721056 BZW721056 CJS721056 CTO721056 DDK721056 DNG721056 DXC721056 EGY721056 EQU721056 FAQ721056 FKM721056 FUI721056 GEE721056 GOA721056 GXW721056 HHS721056 HRO721056 IBK721056 ILG721056 IVC721056 JEY721056 JOU721056 JYQ721056 KIM721056 KSI721056 LCE721056 LMA721056 LVW721056 MFS721056 MPO721056 MZK721056 NJG721056 NTC721056 OCY721056 OMU721056 OWQ721056 PGM721056 PQI721056 QAE721056 QKA721056 QTW721056 RDS721056 RNO721056 RXK721056 SHG721056 SRC721056 TAY721056 TKU721056 TUQ721056 UEM721056 UOI721056 UYE721056 VIA721056 VRW721056 WBS721056 WLO721056 WVK721056 C786592 IY786592 SU786592 ACQ786592 AMM786592 AWI786592 BGE786592 BQA786592 BZW786592 CJS786592 CTO786592 DDK786592 DNG786592 DXC786592 EGY786592 EQU786592 FAQ786592 FKM786592 FUI786592 GEE786592 GOA786592 GXW786592 HHS786592 HRO786592 IBK786592 ILG786592 IVC786592 JEY786592 JOU786592 JYQ786592 KIM786592 KSI786592 LCE786592 LMA786592 LVW786592 MFS786592 MPO786592 MZK786592 NJG786592 NTC786592 OCY786592 OMU786592 OWQ786592 PGM786592 PQI786592 QAE786592 QKA786592 QTW786592 RDS786592 RNO786592 RXK786592 SHG786592 SRC786592 TAY786592 TKU786592 TUQ786592 UEM786592 UOI786592 UYE786592 VIA786592 VRW786592 WBS786592 WLO786592 WVK786592 C852128 IY852128 SU852128 ACQ852128 AMM852128 AWI852128 BGE852128 BQA852128 BZW852128 CJS852128 CTO852128 DDK852128 DNG852128 DXC852128 EGY852128 EQU852128 FAQ852128 FKM852128 FUI852128 GEE852128 GOA852128 GXW852128 HHS852128 HRO852128 IBK852128 ILG852128 IVC852128 JEY852128 JOU852128 JYQ852128 KIM852128 KSI852128 LCE852128 LMA852128 LVW852128 MFS852128 MPO852128 MZK852128 NJG852128 NTC852128 OCY852128 OMU852128 OWQ852128 PGM852128 PQI852128 QAE852128 QKA852128 QTW852128 RDS852128 RNO852128 RXK852128 SHG852128 SRC852128 TAY852128 TKU852128 TUQ852128 UEM852128 UOI852128 UYE852128 VIA852128 VRW852128 WBS852128 WLO852128 WVK852128 C917664 IY917664 SU917664 ACQ917664 AMM917664 AWI917664 BGE917664 BQA917664 BZW917664 CJS917664 CTO917664 DDK917664 DNG917664 DXC917664 EGY917664 EQU917664 FAQ917664 FKM917664 FUI917664 GEE917664 GOA917664 GXW917664 HHS917664 HRO917664 IBK917664 ILG917664 IVC917664 JEY917664 JOU917664 JYQ917664 KIM917664 KSI917664 LCE917664 LMA917664 LVW917664 MFS917664 MPO917664 MZK917664 NJG917664 NTC917664 OCY917664 OMU917664 OWQ917664 PGM917664 PQI917664 QAE917664 QKA917664 QTW917664 RDS917664 RNO917664 RXK917664 SHG917664 SRC917664 TAY917664 TKU917664 TUQ917664 UEM917664 UOI917664 UYE917664 VIA917664 VRW917664 WBS917664 WLO917664 WVK917664 C983200 IY983200 SU983200 ACQ983200 AMM983200 AWI983200 BGE983200 BQA983200 BZW983200 CJS983200 CTO983200 DDK983200 DNG983200 DXC983200 EGY983200 EQU983200 FAQ983200 FKM983200 FUI983200 GEE983200 GOA983200 GXW983200 HHS983200 HRO983200 IBK983200 ILG983200 IVC983200 JEY983200 JOU983200 JYQ983200 KIM983200 KSI983200 LCE983200 LMA983200 LVW983200 MFS983200 MPO983200 MZK983200 NJG983200 NTC983200 OCY983200 OMU983200 OWQ983200 PGM983200 PQI983200 QAE983200 QKA983200 QTW983200 RDS983200 RNO983200 RXK983200 SHG983200 SRC983200 TAY983200 TKU983200 TUQ983200 UEM983200 UOI983200 UYE983200 VIA983200 VRW983200 WBS983200 WLO983200 WVK983200" xr:uid="{F1DFDB78-7DC4-464A-A47C-542A20CB66C1}">
      <formula1>$J$183:$J$187</formula1>
    </dataValidation>
    <dataValidation type="list" allowBlank="1" showInputMessage="1" showErrorMessage="1" errorTitle="Error"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21 IY65521 SU65521 ACQ65521 AMM65521 AWI65521 BGE65521 BQA65521 BZW65521 CJS65521 CTO65521 DDK65521 DNG65521 DXC65521 EGY65521 EQU65521 FAQ65521 FKM65521 FUI65521 GEE65521 GOA65521 GXW65521 HHS65521 HRO65521 IBK65521 ILG65521 IVC65521 JEY65521 JOU65521 JYQ65521 KIM65521 KSI65521 LCE65521 LMA65521 LVW65521 MFS65521 MPO65521 MZK65521 NJG65521 NTC65521 OCY65521 OMU65521 OWQ65521 PGM65521 PQI65521 QAE65521 QKA65521 QTW65521 RDS65521 RNO65521 RXK65521 SHG65521 SRC65521 TAY65521 TKU65521 TUQ65521 UEM65521 UOI65521 UYE65521 VIA65521 VRW65521 WBS65521 WLO65521 WVK65521 C131057 IY131057 SU131057 ACQ131057 AMM131057 AWI131057 BGE131057 BQA131057 BZW131057 CJS131057 CTO131057 DDK131057 DNG131057 DXC131057 EGY131057 EQU131057 FAQ131057 FKM131057 FUI131057 GEE131057 GOA131057 GXW131057 HHS131057 HRO131057 IBK131057 ILG131057 IVC131057 JEY131057 JOU131057 JYQ131057 KIM131057 KSI131057 LCE131057 LMA131057 LVW131057 MFS131057 MPO131057 MZK131057 NJG131057 NTC131057 OCY131057 OMU131057 OWQ131057 PGM131057 PQI131057 QAE131057 QKA131057 QTW131057 RDS131057 RNO131057 RXK131057 SHG131057 SRC131057 TAY131057 TKU131057 TUQ131057 UEM131057 UOI131057 UYE131057 VIA131057 VRW131057 WBS131057 WLO131057 WVK131057 C196593 IY196593 SU196593 ACQ196593 AMM196593 AWI196593 BGE196593 BQA196593 BZW196593 CJS196593 CTO196593 DDK196593 DNG196593 DXC196593 EGY196593 EQU196593 FAQ196593 FKM196593 FUI196593 GEE196593 GOA196593 GXW196593 HHS196593 HRO196593 IBK196593 ILG196593 IVC196593 JEY196593 JOU196593 JYQ196593 KIM196593 KSI196593 LCE196593 LMA196593 LVW196593 MFS196593 MPO196593 MZK196593 NJG196593 NTC196593 OCY196593 OMU196593 OWQ196593 PGM196593 PQI196593 QAE196593 QKA196593 QTW196593 RDS196593 RNO196593 RXK196593 SHG196593 SRC196593 TAY196593 TKU196593 TUQ196593 UEM196593 UOI196593 UYE196593 VIA196593 VRW196593 WBS196593 WLO196593 WVK196593 C262129 IY262129 SU262129 ACQ262129 AMM262129 AWI262129 BGE262129 BQA262129 BZW262129 CJS262129 CTO262129 DDK262129 DNG262129 DXC262129 EGY262129 EQU262129 FAQ262129 FKM262129 FUI262129 GEE262129 GOA262129 GXW262129 HHS262129 HRO262129 IBK262129 ILG262129 IVC262129 JEY262129 JOU262129 JYQ262129 KIM262129 KSI262129 LCE262129 LMA262129 LVW262129 MFS262129 MPO262129 MZK262129 NJG262129 NTC262129 OCY262129 OMU262129 OWQ262129 PGM262129 PQI262129 QAE262129 QKA262129 QTW262129 RDS262129 RNO262129 RXK262129 SHG262129 SRC262129 TAY262129 TKU262129 TUQ262129 UEM262129 UOI262129 UYE262129 VIA262129 VRW262129 WBS262129 WLO262129 WVK262129 C327665 IY327665 SU327665 ACQ327665 AMM327665 AWI327665 BGE327665 BQA327665 BZW327665 CJS327665 CTO327665 DDK327665 DNG327665 DXC327665 EGY327665 EQU327665 FAQ327665 FKM327665 FUI327665 GEE327665 GOA327665 GXW327665 HHS327665 HRO327665 IBK327665 ILG327665 IVC327665 JEY327665 JOU327665 JYQ327665 KIM327665 KSI327665 LCE327665 LMA327665 LVW327665 MFS327665 MPO327665 MZK327665 NJG327665 NTC327665 OCY327665 OMU327665 OWQ327665 PGM327665 PQI327665 QAE327665 QKA327665 QTW327665 RDS327665 RNO327665 RXK327665 SHG327665 SRC327665 TAY327665 TKU327665 TUQ327665 UEM327665 UOI327665 UYE327665 VIA327665 VRW327665 WBS327665 WLO327665 WVK327665 C393201 IY393201 SU393201 ACQ393201 AMM393201 AWI393201 BGE393201 BQA393201 BZW393201 CJS393201 CTO393201 DDK393201 DNG393201 DXC393201 EGY393201 EQU393201 FAQ393201 FKM393201 FUI393201 GEE393201 GOA393201 GXW393201 HHS393201 HRO393201 IBK393201 ILG393201 IVC393201 JEY393201 JOU393201 JYQ393201 KIM393201 KSI393201 LCE393201 LMA393201 LVW393201 MFS393201 MPO393201 MZK393201 NJG393201 NTC393201 OCY393201 OMU393201 OWQ393201 PGM393201 PQI393201 QAE393201 QKA393201 QTW393201 RDS393201 RNO393201 RXK393201 SHG393201 SRC393201 TAY393201 TKU393201 TUQ393201 UEM393201 UOI393201 UYE393201 VIA393201 VRW393201 WBS393201 WLO393201 WVK393201 C458737 IY458737 SU458737 ACQ458737 AMM458737 AWI458737 BGE458737 BQA458737 BZW458737 CJS458737 CTO458737 DDK458737 DNG458737 DXC458737 EGY458737 EQU458737 FAQ458737 FKM458737 FUI458737 GEE458737 GOA458737 GXW458737 HHS458737 HRO458737 IBK458737 ILG458737 IVC458737 JEY458737 JOU458737 JYQ458737 KIM458737 KSI458737 LCE458737 LMA458737 LVW458737 MFS458737 MPO458737 MZK458737 NJG458737 NTC458737 OCY458737 OMU458737 OWQ458737 PGM458737 PQI458737 QAE458737 QKA458737 QTW458737 RDS458737 RNO458737 RXK458737 SHG458737 SRC458737 TAY458737 TKU458737 TUQ458737 UEM458737 UOI458737 UYE458737 VIA458737 VRW458737 WBS458737 WLO458737 WVK458737 C524273 IY524273 SU524273 ACQ524273 AMM524273 AWI524273 BGE524273 BQA524273 BZW524273 CJS524273 CTO524273 DDK524273 DNG524273 DXC524273 EGY524273 EQU524273 FAQ524273 FKM524273 FUI524273 GEE524273 GOA524273 GXW524273 HHS524273 HRO524273 IBK524273 ILG524273 IVC524273 JEY524273 JOU524273 JYQ524273 KIM524273 KSI524273 LCE524273 LMA524273 LVW524273 MFS524273 MPO524273 MZK524273 NJG524273 NTC524273 OCY524273 OMU524273 OWQ524273 PGM524273 PQI524273 QAE524273 QKA524273 QTW524273 RDS524273 RNO524273 RXK524273 SHG524273 SRC524273 TAY524273 TKU524273 TUQ524273 UEM524273 UOI524273 UYE524273 VIA524273 VRW524273 WBS524273 WLO524273 WVK524273 C589809 IY589809 SU589809 ACQ589809 AMM589809 AWI589809 BGE589809 BQA589809 BZW589809 CJS589809 CTO589809 DDK589809 DNG589809 DXC589809 EGY589809 EQU589809 FAQ589809 FKM589809 FUI589809 GEE589809 GOA589809 GXW589809 HHS589809 HRO589809 IBK589809 ILG589809 IVC589809 JEY589809 JOU589809 JYQ589809 KIM589809 KSI589809 LCE589809 LMA589809 LVW589809 MFS589809 MPO589809 MZK589809 NJG589809 NTC589809 OCY589809 OMU589809 OWQ589809 PGM589809 PQI589809 QAE589809 QKA589809 QTW589809 RDS589809 RNO589809 RXK589809 SHG589809 SRC589809 TAY589809 TKU589809 TUQ589809 UEM589809 UOI589809 UYE589809 VIA589809 VRW589809 WBS589809 WLO589809 WVK589809 C655345 IY655345 SU655345 ACQ655345 AMM655345 AWI655345 BGE655345 BQA655345 BZW655345 CJS655345 CTO655345 DDK655345 DNG655345 DXC655345 EGY655345 EQU655345 FAQ655345 FKM655345 FUI655345 GEE655345 GOA655345 GXW655345 HHS655345 HRO655345 IBK655345 ILG655345 IVC655345 JEY655345 JOU655345 JYQ655345 KIM655345 KSI655345 LCE655345 LMA655345 LVW655345 MFS655345 MPO655345 MZK655345 NJG655345 NTC655345 OCY655345 OMU655345 OWQ655345 PGM655345 PQI655345 QAE655345 QKA655345 QTW655345 RDS655345 RNO655345 RXK655345 SHG655345 SRC655345 TAY655345 TKU655345 TUQ655345 UEM655345 UOI655345 UYE655345 VIA655345 VRW655345 WBS655345 WLO655345 WVK655345 C720881 IY720881 SU720881 ACQ720881 AMM720881 AWI720881 BGE720881 BQA720881 BZW720881 CJS720881 CTO720881 DDK720881 DNG720881 DXC720881 EGY720881 EQU720881 FAQ720881 FKM720881 FUI720881 GEE720881 GOA720881 GXW720881 HHS720881 HRO720881 IBK720881 ILG720881 IVC720881 JEY720881 JOU720881 JYQ720881 KIM720881 KSI720881 LCE720881 LMA720881 LVW720881 MFS720881 MPO720881 MZK720881 NJG720881 NTC720881 OCY720881 OMU720881 OWQ720881 PGM720881 PQI720881 QAE720881 QKA720881 QTW720881 RDS720881 RNO720881 RXK720881 SHG720881 SRC720881 TAY720881 TKU720881 TUQ720881 UEM720881 UOI720881 UYE720881 VIA720881 VRW720881 WBS720881 WLO720881 WVK720881 C786417 IY786417 SU786417 ACQ786417 AMM786417 AWI786417 BGE786417 BQA786417 BZW786417 CJS786417 CTO786417 DDK786417 DNG786417 DXC786417 EGY786417 EQU786417 FAQ786417 FKM786417 FUI786417 GEE786417 GOA786417 GXW786417 HHS786417 HRO786417 IBK786417 ILG786417 IVC786417 JEY786417 JOU786417 JYQ786417 KIM786417 KSI786417 LCE786417 LMA786417 LVW786417 MFS786417 MPO786417 MZK786417 NJG786417 NTC786417 OCY786417 OMU786417 OWQ786417 PGM786417 PQI786417 QAE786417 QKA786417 QTW786417 RDS786417 RNO786417 RXK786417 SHG786417 SRC786417 TAY786417 TKU786417 TUQ786417 UEM786417 UOI786417 UYE786417 VIA786417 VRW786417 WBS786417 WLO786417 WVK786417 C851953 IY851953 SU851953 ACQ851953 AMM851953 AWI851953 BGE851953 BQA851953 BZW851953 CJS851953 CTO851953 DDK851953 DNG851953 DXC851953 EGY851953 EQU851953 FAQ851953 FKM851953 FUI851953 GEE851953 GOA851953 GXW851953 HHS851953 HRO851953 IBK851953 ILG851953 IVC851953 JEY851953 JOU851953 JYQ851953 KIM851953 KSI851953 LCE851953 LMA851953 LVW851953 MFS851953 MPO851953 MZK851953 NJG851953 NTC851953 OCY851953 OMU851953 OWQ851953 PGM851953 PQI851953 QAE851953 QKA851953 QTW851953 RDS851953 RNO851953 RXK851953 SHG851953 SRC851953 TAY851953 TKU851953 TUQ851953 UEM851953 UOI851953 UYE851953 VIA851953 VRW851953 WBS851953 WLO851953 WVK851953 C917489 IY917489 SU917489 ACQ917489 AMM917489 AWI917489 BGE917489 BQA917489 BZW917489 CJS917489 CTO917489 DDK917489 DNG917489 DXC917489 EGY917489 EQU917489 FAQ917489 FKM917489 FUI917489 GEE917489 GOA917489 GXW917489 HHS917489 HRO917489 IBK917489 ILG917489 IVC917489 JEY917489 JOU917489 JYQ917489 KIM917489 KSI917489 LCE917489 LMA917489 LVW917489 MFS917489 MPO917489 MZK917489 NJG917489 NTC917489 OCY917489 OMU917489 OWQ917489 PGM917489 PQI917489 QAE917489 QKA917489 QTW917489 RDS917489 RNO917489 RXK917489 SHG917489 SRC917489 TAY917489 TKU917489 TUQ917489 UEM917489 UOI917489 UYE917489 VIA917489 VRW917489 WBS917489 WLO917489 WVK917489 C983025 IY983025 SU983025 ACQ983025 AMM983025 AWI983025 BGE983025 BQA983025 BZW983025 CJS983025 CTO983025 DDK983025 DNG983025 DXC983025 EGY983025 EQU983025 FAQ983025 FKM983025 FUI983025 GEE983025 GOA983025 GXW983025 HHS983025 HRO983025 IBK983025 ILG983025 IVC983025 JEY983025 JOU983025 JYQ983025 KIM983025 KSI983025 LCE983025 LMA983025 LVW983025 MFS983025 MPO983025 MZK983025 NJG983025 NTC983025 OCY983025 OMU983025 OWQ983025 PGM983025 PQI983025 QAE983025 QKA983025 QTW983025 RDS983025 RNO983025 RXK983025 SHG983025 SRC983025 TAY983025 TKU983025 TUQ983025 UEM983025 UOI983025 UYE983025 VIA983025 VRW983025 WBS983025 WLO983025 WVK983025" xr:uid="{B345E0B6-079D-4AFB-853D-9FD531094755}">
      <formula1>$J$10:$J$12</formula1>
    </dataValidation>
    <dataValidation type="list" allowBlank="1" showErrorMessage="1" promptTitle="Select:" prompt="Service branch." sqref="C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C65518 IY65518 SU65518 ACQ65518 AMM65518 AWI65518 BGE65518 BQA65518 BZW65518 CJS65518 CTO65518 DDK65518 DNG65518 DXC65518 EGY65518 EQU65518 FAQ65518 FKM65518 FUI65518 GEE65518 GOA65518 GXW65518 HHS65518 HRO65518 IBK65518 ILG65518 IVC65518 JEY65518 JOU65518 JYQ65518 KIM65518 KSI65518 LCE65518 LMA65518 LVW65518 MFS65518 MPO65518 MZK65518 NJG65518 NTC65518 OCY65518 OMU65518 OWQ65518 PGM65518 PQI65518 QAE65518 QKA65518 QTW65518 RDS65518 RNO65518 RXK65518 SHG65518 SRC65518 TAY65518 TKU65518 TUQ65518 UEM65518 UOI65518 UYE65518 VIA65518 VRW65518 WBS65518 WLO65518 WVK65518 C131054 IY131054 SU131054 ACQ131054 AMM131054 AWI131054 BGE131054 BQA131054 BZW131054 CJS131054 CTO131054 DDK131054 DNG131054 DXC131054 EGY131054 EQU131054 FAQ131054 FKM131054 FUI131054 GEE131054 GOA131054 GXW131054 HHS131054 HRO131054 IBK131054 ILG131054 IVC131054 JEY131054 JOU131054 JYQ131054 KIM131054 KSI131054 LCE131054 LMA131054 LVW131054 MFS131054 MPO131054 MZK131054 NJG131054 NTC131054 OCY131054 OMU131054 OWQ131054 PGM131054 PQI131054 QAE131054 QKA131054 QTW131054 RDS131054 RNO131054 RXK131054 SHG131054 SRC131054 TAY131054 TKU131054 TUQ131054 UEM131054 UOI131054 UYE131054 VIA131054 VRW131054 WBS131054 WLO131054 WVK131054 C196590 IY196590 SU196590 ACQ196590 AMM196590 AWI196590 BGE196590 BQA196590 BZW196590 CJS196590 CTO196590 DDK196590 DNG196590 DXC196590 EGY196590 EQU196590 FAQ196590 FKM196590 FUI196590 GEE196590 GOA196590 GXW196590 HHS196590 HRO196590 IBK196590 ILG196590 IVC196590 JEY196590 JOU196590 JYQ196590 KIM196590 KSI196590 LCE196590 LMA196590 LVW196590 MFS196590 MPO196590 MZK196590 NJG196590 NTC196590 OCY196590 OMU196590 OWQ196590 PGM196590 PQI196590 QAE196590 QKA196590 QTW196590 RDS196590 RNO196590 RXK196590 SHG196590 SRC196590 TAY196590 TKU196590 TUQ196590 UEM196590 UOI196590 UYE196590 VIA196590 VRW196590 WBS196590 WLO196590 WVK196590 C262126 IY262126 SU262126 ACQ262126 AMM262126 AWI262126 BGE262126 BQA262126 BZW262126 CJS262126 CTO262126 DDK262126 DNG262126 DXC262126 EGY262126 EQU262126 FAQ262126 FKM262126 FUI262126 GEE262126 GOA262126 GXW262126 HHS262126 HRO262126 IBK262126 ILG262126 IVC262126 JEY262126 JOU262126 JYQ262126 KIM262126 KSI262126 LCE262126 LMA262126 LVW262126 MFS262126 MPO262126 MZK262126 NJG262126 NTC262126 OCY262126 OMU262126 OWQ262126 PGM262126 PQI262126 QAE262126 QKA262126 QTW262126 RDS262126 RNO262126 RXK262126 SHG262126 SRC262126 TAY262126 TKU262126 TUQ262126 UEM262126 UOI262126 UYE262126 VIA262126 VRW262126 WBS262126 WLO262126 WVK262126 C327662 IY327662 SU327662 ACQ327662 AMM327662 AWI327662 BGE327662 BQA327662 BZW327662 CJS327662 CTO327662 DDK327662 DNG327662 DXC327662 EGY327662 EQU327662 FAQ327662 FKM327662 FUI327662 GEE327662 GOA327662 GXW327662 HHS327662 HRO327662 IBK327662 ILG327662 IVC327662 JEY327662 JOU327662 JYQ327662 KIM327662 KSI327662 LCE327662 LMA327662 LVW327662 MFS327662 MPO327662 MZK327662 NJG327662 NTC327662 OCY327662 OMU327662 OWQ327662 PGM327662 PQI327662 QAE327662 QKA327662 QTW327662 RDS327662 RNO327662 RXK327662 SHG327662 SRC327662 TAY327662 TKU327662 TUQ327662 UEM327662 UOI327662 UYE327662 VIA327662 VRW327662 WBS327662 WLO327662 WVK327662 C393198 IY393198 SU393198 ACQ393198 AMM393198 AWI393198 BGE393198 BQA393198 BZW393198 CJS393198 CTO393198 DDK393198 DNG393198 DXC393198 EGY393198 EQU393198 FAQ393198 FKM393198 FUI393198 GEE393198 GOA393198 GXW393198 HHS393198 HRO393198 IBK393198 ILG393198 IVC393198 JEY393198 JOU393198 JYQ393198 KIM393198 KSI393198 LCE393198 LMA393198 LVW393198 MFS393198 MPO393198 MZK393198 NJG393198 NTC393198 OCY393198 OMU393198 OWQ393198 PGM393198 PQI393198 QAE393198 QKA393198 QTW393198 RDS393198 RNO393198 RXK393198 SHG393198 SRC393198 TAY393198 TKU393198 TUQ393198 UEM393198 UOI393198 UYE393198 VIA393198 VRW393198 WBS393198 WLO393198 WVK393198 C458734 IY458734 SU458734 ACQ458734 AMM458734 AWI458734 BGE458734 BQA458734 BZW458734 CJS458734 CTO458734 DDK458734 DNG458734 DXC458734 EGY458734 EQU458734 FAQ458734 FKM458734 FUI458734 GEE458734 GOA458734 GXW458734 HHS458734 HRO458734 IBK458734 ILG458734 IVC458734 JEY458734 JOU458734 JYQ458734 KIM458734 KSI458734 LCE458734 LMA458734 LVW458734 MFS458734 MPO458734 MZK458734 NJG458734 NTC458734 OCY458734 OMU458734 OWQ458734 PGM458734 PQI458734 QAE458734 QKA458734 QTW458734 RDS458734 RNO458734 RXK458734 SHG458734 SRC458734 TAY458734 TKU458734 TUQ458734 UEM458734 UOI458734 UYE458734 VIA458734 VRW458734 WBS458734 WLO458734 WVK458734 C524270 IY524270 SU524270 ACQ524270 AMM524270 AWI524270 BGE524270 BQA524270 BZW524270 CJS524270 CTO524270 DDK524270 DNG524270 DXC524270 EGY524270 EQU524270 FAQ524270 FKM524270 FUI524270 GEE524270 GOA524270 GXW524270 HHS524270 HRO524270 IBK524270 ILG524270 IVC524270 JEY524270 JOU524270 JYQ524270 KIM524270 KSI524270 LCE524270 LMA524270 LVW524270 MFS524270 MPO524270 MZK524270 NJG524270 NTC524270 OCY524270 OMU524270 OWQ524270 PGM524270 PQI524270 QAE524270 QKA524270 QTW524270 RDS524270 RNO524270 RXK524270 SHG524270 SRC524270 TAY524270 TKU524270 TUQ524270 UEM524270 UOI524270 UYE524270 VIA524270 VRW524270 WBS524270 WLO524270 WVK524270 C589806 IY589806 SU589806 ACQ589806 AMM589806 AWI589806 BGE589806 BQA589806 BZW589806 CJS589806 CTO589806 DDK589806 DNG589806 DXC589806 EGY589806 EQU589806 FAQ589806 FKM589806 FUI589806 GEE589806 GOA589806 GXW589806 HHS589806 HRO589806 IBK589806 ILG589806 IVC589806 JEY589806 JOU589806 JYQ589806 KIM589806 KSI589806 LCE589806 LMA589806 LVW589806 MFS589806 MPO589806 MZK589806 NJG589806 NTC589806 OCY589806 OMU589806 OWQ589806 PGM589806 PQI589806 QAE589806 QKA589806 QTW589806 RDS589806 RNO589806 RXK589806 SHG589806 SRC589806 TAY589806 TKU589806 TUQ589806 UEM589806 UOI589806 UYE589806 VIA589806 VRW589806 WBS589806 WLO589806 WVK589806 C655342 IY655342 SU655342 ACQ655342 AMM655342 AWI655342 BGE655342 BQA655342 BZW655342 CJS655342 CTO655342 DDK655342 DNG655342 DXC655342 EGY655342 EQU655342 FAQ655342 FKM655342 FUI655342 GEE655342 GOA655342 GXW655342 HHS655342 HRO655342 IBK655342 ILG655342 IVC655342 JEY655342 JOU655342 JYQ655342 KIM655342 KSI655342 LCE655342 LMA655342 LVW655342 MFS655342 MPO655342 MZK655342 NJG655342 NTC655342 OCY655342 OMU655342 OWQ655342 PGM655342 PQI655342 QAE655342 QKA655342 QTW655342 RDS655342 RNO655342 RXK655342 SHG655342 SRC655342 TAY655342 TKU655342 TUQ655342 UEM655342 UOI655342 UYE655342 VIA655342 VRW655342 WBS655342 WLO655342 WVK655342 C720878 IY720878 SU720878 ACQ720878 AMM720878 AWI720878 BGE720878 BQA720878 BZW720878 CJS720878 CTO720878 DDK720878 DNG720878 DXC720878 EGY720878 EQU720878 FAQ720878 FKM720878 FUI720878 GEE720878 GOA720878 GXW720878 HHS720878 HRO720878 IBK720878 ILG720878 IVC720878 JEY720878 JOU720878 JYQ720878 KIM720878 KSI720878 LCE720878 LMA720878 LVW720878 MFS720878 MPO720878 MZK720878 NJG720878 NTC720878 OCY720878 OMU720878 OWQ720878 PGM720878 PQI720878 QAE720878 QKA720878 QTW720878 RDS720878 RNO720878 RXK720878 SHG720878 SRC720878 TAY720878 TKU720878 TUQ720878 UEM720878 UOI720878 UYE720878 VIA720878 VRW720878 WBS720878 WLO720878 WVK720878 C786414 IY786414 SU786414 ACQ786414 AMM786414 AWI786414 BGE786414 BQA786414 BZW786414 CJS786414 CTO786414 DDK786414 DNG786414 DXC786414 EGY786414 EQU786414 FAQ786414 FKM786414 FUI786414 GEE786414 GOA786414 GXW786414 HHS786414 HRO786414 IBK786414 ILG786414 IVC786414 JEY786414 JOU786414 JYQ786414 KIM786414 KSI786414 LCE786414 LMA786414 LVW786414 MFS786414 MPO786414 MZK786414 NJG786414 NTC786414 OCY786414 OMU786414 OWQ786414 PGM786414 PQI786414 QAE786414 QKA786414 QTW786414 RDS786414 RNO786414 RXK786414 SHG786414 SRC786414 TAY786414 TKU786414 TUQ786414 UEM786414 UOI786414 UYE786414 VIA786414 VRW786414 WBS786414 WLO786414 WVK786414 C851950 IY851950 SU851950 ACQ851950 AMM851950 AWI851950 BGE851950 BQA851950 BZW851950 CJS851950 CTO851950 DDK851950 DNG851950 DXC851950 EGY851950 EQU851950 FAQ851950 FKM851950 FUI851950 GEE851950 GOA851950 GXW851950 HHS851950 HRO851950 IBK851950 ILG851950 IVC851950 JEY851950 JOU851950 JYQ851950 KIM851950 KSI851950 LCE851950 LMA851950 LVW851950 MFS851950 MPO851950 MZK851950 NJG851950 NTC851950 OCY851950 OMU851950 OWQ851950 PGM851950 PQI851950 QAE851950 QKA851950 QTW851950 RDS851950 RNO851950 RXK851950 SHG851950 SRC851950 TAY851950 TKU851950 TUQ851950 UEM851950 UOI851950 UYE851950 VIA851950 VRW851950 WBS851950 WLO851950 WVK851950 C917486 IY917486 SU917486 ACQ917486 AMM917486 AWI917486 BGE917486 BQA917486 BZW917486 CJS917486 CTO917486 DDK917486 DNG917486 DXC917486 EGY917486 EQU917486 FAQ917486 FKM917486 FUI917486 GEE917486 GOA917486 GXW917486 HHS917486 HRO917486 IBK917486 ILG917486 IVC917486 JEY917486 JOU917486 JYQ917486 KIM917486 KSI917486 LCE917486 LMA917486 LVW917486 MFS917486 MPO917486 MZK917486 NJG917486 NTC917486 OCY917486 OMU917486 OWQ917486 PGM917486 PQI917486 QAE917486 QKA917486 QTW917486 RDS917486 RNO917486 RXK917486 SHG917486 SRC917486 TAY917486 TKU917486 TUQ917486 UEM917486 UOI917486 UYE917486 VIA917486 VRW917486 WBS917486 WLO917486 WVK917486 C983022 IY983022 SU983022 ACQ983022 AMM983022 AWI983022 BGE983022 BQA983022 BZW983022 CJS983022 CTO983022 DDK983022 DNG983022 DXC983022 EGY983022 EQU983022 FAQ983022 FKM983022 FUI983022 GEE983022 GOA983022 GXW983022 HHS983022 HRO983022 IBK983022 ILG983022 IVC983022 JEY983022 JOU983022 JYQ983022 KIM983022 KSI983022 LCE983022 LMA983022 LVW983022 MFS983022 MPO983022 MZK983022 NJG983022 NTC983022 OCY983022 OMU983022 OWQ983022 PGM983022 PQI983022 QAE983022 QKA983022 QTW983022 RDS983022 RNO983022 RXK983022 SHG983022 SRC983022 TAY983022 TKU983022 TUQ983022 UEM983022 UOI983022 UYE983022 VIA983022 VRW983022 WBS983022 WLO983022 WVK983022" xr:uid="{6A6CF1DE-C28E-4B24-86D6-2D56C01723DB}">
      <formula1>$J$5:$J$8</formula1>
    </dataValidation>
    <dataValidation type="whole" allowBlank="1" showInputMessage="1" showErrorMessage="1" errorTitle="Error" error="No. of vehicles must be a whole number between 1 and 8." sqref="C28:C32 IY28:IY32 SU28:SU32 ACQ28:ACQ32 AMM28:AMM32 AWI28:AWI32 BGE28:BGE32 BQA28:BQA32 BZW28:BZW32 CJS28:CJS32 CTO28:CTO32 DDK28:DDK32 DNG28:DNG32 DXC28:DXC32 EGY28:EGY32 EQU28:EQU32 FAQ28:FAQ32 FKM28:FKM32 FUI28:FUI32 GEE28:GEE32 GOA28:GOA32 GXW28:GXW32 HHS28:HHS32 HRO28:HRO32 IBK28:IBK32 ILG28:ILG32 IVC28:IVC32 JEY28:JEY32 JOU28:JOU32 JYQ28:JYQ32 KIM28:KIM32 KSI28:KSI32 LCE28:LCE32 LMA28:LMA32 LVW28:LVW32 MFS28:MFS32 MPO28:MPO32 MZK28:MZK32 NJG28:NJG32 NTC28:NTC32 OCY28:OCY32 OMU28:OMU32 OWQ28:OWQ32 PGM28:PGM32 PQI28:PQI32 QAE28:QAE32 QKA28:QKA32 QTW28:QTW32 RDS28:RDS32 RNO28:RNO32 RXK28:RXK32 SHG28:SHG32 SRC28:SRC32 TAY28:TAY32 TKU28:TKU32 TUQ28:TUQ32 UEM28:UEM32 UOI28:UOI32 UYE28:UYE32 VIA28:VIA32 VRW28:VRW32 WBS28:WBS32 WLO28:WLO32 WVK28:WVK32 C65541:C65545 IY65541:IY65545 SU65541:SU65545 ACQ65541:ACQ65545 AMM65541:AMM65545 AWI65541:AWI65545 BGE65541:BGE65545 BQA65541:BQA65545 BZW65541:BZW65545 CJS65541:CJS65545 CTO65541:CTO65545 DDK65541:DDK65545 DNG65541:DNG65545 DXC65541:DXC65545 EGY65541:EGY65545 EQU65541:EQU65545 FAQ65541:FAQ65545 FKM65541:FKM65545 FUI65541:FUI65545 GEE65541:GEE65545 GOA65541:GOA65545 GXW65541:GXW65545 HHS65541:HHS65545 HRO65541:HRO65545 IBK65541:IBK65545 ILG65541:ILG65545 IVC65541:IVC65545 JEY65541:JEY65545 JOU65541:JOU65545 JYQ65541:JYQ65545 KIM65541:KIM65545 KSI65541:KSI65545 LCE65541:LCE65545 LMA65541:LMA65545 LVW65541:LVW65545 MFS65541:MFS65545 MPO65541:MPO65545 MZK65541:MZK65545 NJG65541:NJG65545 NTC65541:NTC65545 OCY65541:OCY65545 OMU65541:OMU65545 OWQ65541:OWQ65545 PGM65541:PGM65545 PQI65541:PQI65545 QAE65541:QAE65545 QKA65541:QKA65545 QTW65541:QTW65545 RDS65541:RDS65545 RNO65541:RNO65545 RXK65541:RXK65545 SHG65541:SHG65545 SRC65541:SRC65545 TAY65541:TAY65545 TKU65541:TKU65545 TUQ65541:TUQ65545 UEM65541:UEM65545 UOI65541:UOI65545 UYE65541:UYE65545 VIA65541:VIA65545 VRW65541:VRW65545 WBS65541:WBS65545 WLO65541:WLO65545 WVK65541:WVK65545 C131077:C131081 IY131077:IY131081 SU131077:SU131081 ACQ131077:ACQ131081 AMM131077:AMM131081 AWI131077:AWI131081 BGE131077:BGE131081 BQA131077:BQA131081 BZW131077:BZW131081 CJS131077:CJS131081 CTO131077:CTO131081 DDK131077:DDK131081 DNG131077:DNG131081 DXC131077:DXC131081 EGY131077:EGY131081 EQU131077:EQU131081 FAQ131077:FAQ131081 FKM131077:FKM131081 FUI131077:FUI131081 GEE131077:GEE131081 GOA131077:GOA131081 GXW131077:GXW131081 HHS131077:HHS131081 HRO131077:HRO131081 IBK131077:IBK131081 ILG131077:ILG131081 IVC131077:IVC131081 JEY131077:JEY131081 JOU131077:JOU131081 JYQ131077:JYQ131081 KIM131077:KIM131081 KSI131077:KSI131081 LCE131077:LCE131081 LMA131077:LMA131081 LVW131077:LVW131081 MFS131077:MFS131081 MPO131077:MPO131081 MZK131077:MZK131081 NJG131077:NJG131081 NTC131077:NTC131081 OCY131077:OCY131081 OMU131077:OMU131081 OWQ131077:OWQ131081 PGM131077:PGM131081 PQI131077:PQI131081 QAE131077:QAE131081 QKA131077:QKA131081 QTW131077:QTW131081 RDS131077:RDS131081 RNO131077:RNO131081 RXK131077:RXK131081 SHG131077:SHG131081 SRC131077:SRC131081 TAY131077:TAY131081 TKU131077:TKU131081 TUQ131077:TUQ131081 UEM131077:UEM131081 UOI131077:UOI131081 UYE131077:UYE131081 VIA131077:VIA131081 VRW131077:VRW131081 WBS131077:WBS131081 WLO131077:WLO131081 WVK131077:WVK131081 C196613:C196617 IY196613:IY196617 SU196613:SU196617 ACQ196613:ACQ196617 AMM196613:AMM196617 AWI196613:AWI196617 BGE196613:BGE196617 BQA196613:BQA196617 BZW196613:BZW196617 CJS196613:CJS196617 CTO196613:CTO196617 DDK196613:DDK196617 DNG196613:DNG196617 DXC196613:DXC196617 EGY196613:EGY196617 EQU196613:EQU196617 FAQ196613:FAQ196617 FKM196613:FKM196617 FUI196613:FUI196617 GEE196613:GEE196617 GOA196613:GOA196617 GXW196613:GXW196617 HHS196613:HHS196617 HRO196613:HRO196617 IBK196613:IBK196617 ILG196613:ILG196617 IVC196613:IVC196617 JEY196613:JEY196617 JOU196613:JOU196617 JYQ196613:JYQ196617 KIM196613:KIM196617 KSI196613:KSI196617 LCE196613:LCE196617 LMA196613:LMA196617 LVW196613:LVW196617 MFS196613:MFS196617 MPO196613:MPO196617 MZK196613:MZK196617 NJG196613:NJG196617 NTC196613:NTC196617 OCY196613:OCY196617 OMU196613:OMU196617 OWQ196613:OWQ196617 PGM196613:PGM196617 PQI196613:PQI196617 QAE196613:QAE196617 QKA196613:QKA196617 QTW196613:QTW196617 RDS196613:RDS196617 RNO196613:RNO196617 RXK196613:RXK196617 SHG196613:SHG196617 SRC196613:SRC196617 TAY196613:TAY196617 TKU196613:TKU196617 TUQ196613:TUQ196617 UEM196613:UEM196617 UOI196613:UOI196617 UYE196613:UYE196617 VIA196613:VIA196617 VRW196613:VRW196617 WBS196613:WBS196617 WLO196613:WLO196617 WVK196613:WVK196617 C262149:C262153 IY262149:IY262153 SU262149:SU262153 ACQ262149:ACQ262153 AMM262149:AMM262153 AWI262149:AWI262153 BGE262149:BGE262153 BQA262149:BQA262153 BZW262149:BZW262153 CJS262149:CJS262153 CTO262149:CTO262153 DDK262149:DDK262153 DNG262149:DNG262153 DXC262149:DXC262153 EGY262149:EGY262153 EQU262149:EQU262153 FAQ262149:FAQ262153 FKM262149:FKM262153 FUI262149:FUI262153 GEE262149:GEE262153 GOA262149:GOA262153 GXW262149:GXW262153 HHS262149:HHS262153 HRO262149:HRO262153 IBK262149:IBK262153 ILG262149:ILG262153 IVC262149:IVC262153 JEY262149:JEY262153 JOU262149:JOU262153 JYQ262149:JYQ262153 KIM262149:KIM262153 KSI262149:KSI262153 LCE262149:LCE262153 LMA262149:LMA262153 LVW262149:LVW262153 MFS262149:MFS262153 MPO262149:MPO262153 MZK262149:MZK262153 NJG262149:NJG262153 NTC262149:NTC262153 OCY262149:OCY262153 OMU262149:OMU262153 OWQ262149:OWQ262153 PGM262149:PGM262153 PQI262149:PQI262153 QAE262149:QAE262153 QKA262149:QKA262153 QTW262149:QTW262153 RDS262149:RDS262153 RNO262149:RNO262153 RXK262149:RXK262153 SHG262149:SHG262153 SRC262149:SRC262153 TAY262149:TAY262153 TKU262149:TKU262153 TUQ262149:TUQ262153 UEM262149:UEM262153 UOI262149:UOI262153 UYE262149:UYE262153 VIA262149:VIA262153 VRW262149:VRW262153 WBS262149:WBS262153 WLO262149:WLO262153 WVK262149:WVK262153 C327685:C327689 IY327685:IY327689 SU327685:SU327689 ACQ327685:ACQ327689 AMM327685:AMM327689 AWI327685:AWI327689 BGE327685:BGE327689 BQA327685:BQA327689 BZW327685:BZW327689 CJS327685:CJS327689 CTO327685:CTO327689 DDK327685:DDK327689 DNG327685:DNG327689 DXC327685:DXC327689 EGY327685:EGY327689 EQU327685:EQU327689 FAQ327685:FAQ327689 FKM327685:FKM327689 FUI327685:FUI327689 GEE327685:GEE327689 GOA327685:GOA327689 GXW327685:GXW327689 HHS327685:HHS327689 HRO327685:HRO327689 IBK327685:IBK327689 ILG327685:ILG327689 IVC327685:IVC327689 JEY327685:JEY327689 JOU327685:JOU327689 JYQ327685:JYQ327689 KIM327685:KIM327689 KSI327685:KSI327689 LCE327685:LCE327689 LMA327685:LMA327689 LVW327685:LVW327689 MFS327685:MFS327689 MPO327685:MPO327689 MZK327685:MZK327689 NJG327685:NJG327689 NTC327685:NTC327689 OCY327685:OCY327689 OMU327685:OMU327689 OWQ327685:OWQ327689 PGM327685:PGM327689 PQI327685:PQI327689 QAE327685:QAE327689 QKA327685:QKA327689 QTW327685:QTW327689 RDS327685:RDS327689 RNO327685:RNO327689 RXK327685:RXK327689 SHG327685:SHG327689 SRC327685:SRC327689 TAY327685:TAY327689 TKU327685:TKU327689 TUQ327685:TUQ327689 UEM327685:UEM327689 UOI327685:UOI327689 UYE327685:UYE327689 VIA327685:VIA327689 VRW327685:VRW327689 WBS327685:WBS327689 WLO327685:WLO327689 WVK327685:WVK327689 C393221:C393225 IY393221:IY393225 SU393221:SU393225 ACQ393221:ACQ393225 AMM393221:AMM393225 AWI393221:AWI393225 BGE393221:BGE393225 BQA393221:BQA393225 BZW393221:BZW393225 CJS393221:CJS393225 CTO393221:CTO393225 DDK393221:DDK393225 DNG393221:DNG393225 DXC393221:DXC393225 EGY393221:EGY393225 EQU393221:EQU393225 FAQ393221:FAQ393225 FKM393221:FKM393225 FUI393221:FUI393225 GEE393221:GEE393225 GOA393221:GOA393225 GXW393221:GXW393225 HHS393221:HHS393225 HRO393221:HRO393225 IBK393221:IBK393225 ILG393221:ILG393225 IVC393221:IVC393225 JEY393221:JEY393225 JOU393221:JOU393225 JYQ393221:JYQ393225 KIM393221:KIM393225 KSI393221:KSI393225 LCE393221:LCE393225 LMA393221:LMA393225 LVW393221:LVW393225 MFS393221:MFS393225 MPO393221:MPO393225 MZK393221:MZK393225 NJG393221:NJG393225 NTC393221:NTC393225 OCY393221:OCY393225 OMU393221:OMU393225 OWQ393221:OWQ393225 PGM393221:PGM393225 PQI393221:PQI393225 QAE393221:QAE393225 QKA393221:QKA393225 QTW393221:QTW393225 RDS393221:RDS393225 RNO393221:RNO393225 RXK393221:RXK393225 SHG393221:SHG393225 SRC393221:SRC393225 TAY393221:TAY393225 TKU393221:TKU393225 TUQ393221:TUQ393225 UEM393221:UEM393225 UOI393221:UOI393225 UYE393221:UYE393225 VIA393221:VIA393225 VRW393221:VRW393225 WBS393221:WBS393225 WLO393221:WLO393225 WVK393221:WVK393225 C458757:C458761 IY458757:IY458761 SU458757:SU458761 ACQ458757:ACQ458761 AMM458757:AMM458761 AWI458757:AWI458761 BGE458757:BGE458761 BQA458757:BQA458761 BZW458757:BZW458761 CJS458757:CJS458761 CTO458757:CTO458761 DDK458757:DDK458761 DNG458757:DNG458761 DXC458757:DXC458761 EGY458757:EGY458761 EQU458757:EQU458761 FAQ458757:FAQ458761 FKM458757:FKM458761 FUI458757:FUI458761 GEE458757:GEE458761 GOA458757:GOA458761 GXW458757:GXW458761 HHS458757:HHS458761 HRO458757:HRO458761 IBK458757:IBK458761 ILG458757:ILG458761 IVC458757:IVC458761 JEY458757:JEY458761 JOU458757:JOU458761 JYQ458757:JYQ458761 KIM458757:KIM458761 KSI458757:KSI458761 LCE458757:LCE458761 LMA458757:LMA458761 LVW458757:LVW458761 MFS458757:MFS458761 MPO458757:MPO458761 MZK458757:MZK458761 NJG458757:NJG458761 NTC458757:NTC458761 OCY458757:OCY458761 OMU458757:OMU458761 OWQ458757:OWQ458761 PGM458757:PGM458761 PQI458757:PQI458761 QAE458757:QAE458761 QKA458757:QKA458761 QTW458757:QTW458761 RDS458757:RDS458761 RNO458757:RNO458761 RXK458757:RXK458761 SHG458757:SHG458761 SRC458757:SRC458761 TAY458757:TAY458761 TKU458757:TKU458761 TUQ458757:TUQ458761 UEM458757:UEM458761 UOI458757:UOI458761 UYE458757:UYE458761 VIA458757:VIA458761 VRW458757:VRW458761 WBS458757:WBS458761 WLO458757:WLO458761 WVK458757:WVK458761 C524293:C524297 IY524293:IY524297 SU524293:SU524297 ACQ524293:ACQ524297 AMM524293:AMM524297 AWI524293:AWI524297 BGE524293:BGE524297 BQA524293:BQA524297 BZW524293:BZW524297 CJS524293:CJS524297 CTO524293:CTO524297 DDK524293:DDK524297 DNG524293:DNG524297 DXC524293:DXC524297 EGY524293:EGY524297 EQU524293:EQU524297 FAQ524293:FAQ524297 FKM524293:FKM524297 FUI524293:FUI524297 GEE524293:GEE524297 GOA524293:GOA524297 GXW524293:GXW524297 HHS524293:HHS524297 HRO524293:HRO524297 IBK524293:IBK524297 ILG524293:ILG524297 IVC524293:IVC524297 JEY524293:JEY524297 JOU524293:JOU524297 JYQ524293:JYQ524297 KIM524293:KIM524297 KSI524293:KSI524297 LCE524293:LCE524297 LMA524293:LMA524297 LVW524293:LVW524297 MFS524293:MFS524297 MPO524293:MPO524297 MZK524293:MZK524297 NJG524293:NJG524297 NTC524293:NTC524297 OCY524293:OCY524297 OMU524293:OMU524297 OWQ524293:OWQ524297 PGM524293:PGM524297 PQI524293:PQI524297 QAE524293:QAE524297 QKA524293:QKA524297 QTW524293:QTW524297 RDS524293:RDS524297 RNO524293:RNO524297 RXK524293:RXK524297 SHG524293:SHG524297 SRC524293:SRC524297 TAY524293:TAY524297 TKU524293:TKU524297 TUQ524293:TUQ524297 UEM524293:UEM524297 UOI524293:UOI524297 UYE524293:UYE524297 VIA524293:VIA524297 VRW524293:VRW524297 WBS524293:WBS524297 WLO524293:WLO524297 WVK524293:WVK524297 C589829:C589833 IY589829:IY589833 SU589829:SU589833 ACQ589829:ACQ589833 AMM589829:AMM589833 AWI589829:AWI589833 BGE589829:BGE589833 BQA589829:BQA589833 BZW589829:BZW589833 CJS589829:CJS589833 CTO589829:CTO589833 DDK589829:DDK589833 DNG589829:DNG589833 DXC589829:DXC589833 EGY589829:EGY589833 EQU589829:EQU589833 FAQ589829:FAQ589833 FKM589829:FKM589833 FUI589829:FUI589833 GEE589829:GEE589833 GOA589829:GOA589833 GXW589829:GXW589833 HHS589829:HHS589833 HRO589829:HRO589833 IBK589829:IBK589833 ILG589829:ILG589833 IVC589829:IVC589833 JEY589829:JEY589833 JOU589829:JOU589833 JYQ589829:JYQ589833 KIM589829:KIM589833 KSI589829:KSI589833 LCE589829:LCE589833 LMA589829:LMA589833 LVW589829:LVW589833 MFS589829:MFS589833 MPO589829:MPO589833 MZK589829:MZK589833 NJG589829:NJG589833 NTC589829:NTC589833 OCY589829:OCY589833 OMU589829:OMU589833 OWQ589829:OWQ589833 PGM589829:PGM589833 PQI589829:PQI589833 QAE589829:QAE589833 QKA589829:QKA589833 QTW589829:QTW589833 RDS589829:RDS589833 RNO589829:RNO589833 RXK589829:RXK589833 SHG589829:SHG589833 SRC589829:SRC589833 TAY589829:TAY589833 TKU589829:TKU589833 TUQ589829:TUQ589833 UEM589829:UEM589833 UOI589829:UOI589833 UYE589829:UYE589833 VIA589829:VIA589833 VRW589829:VRW589833 WBS589829:WBS589833 WLO589829:WLO589833 WVK589829:WVK589833 C655365:C655369 IY655365:IY655369 SU655365:SU655369 ACQ655365:ACQ655369 AMM655365:AMM655369 AWI655365:AWI655369 BGE655365:BGE655369 BQA655365:BQA655369 BZW655365:BZW655369 CJS655365:CJS655369 CTO655365:CTO655369 DDK655365:DDK655369 DNG655365:DNG655369 DXC655365:DXC655369 EGY655365:EGY655369 EQU655365:EQU655369 FAQ655365:FAQ655369 FKM655365:FKM655369 FUI655365:FUI655369 GEE655365:GEE655369 GOA655365:GOA655369 GXW655365:GXW655369 HHS655365:HHS655369 HRO655365:HRO655369 IBK655365:IBK655369 ILG655365:ILG655369 IVC655365:IVC655369 JEY655365:JEY655369 JOU655365:JOU655369 JYQ655365:JYQ655369 KIM655365:KIM655369 KSI655365:KSI655369 LCE655365:LCE655369 LMA655365:LMA655369 LVW655365:LVW655369 MFS655365:MFS655369 MPO655365:MPO655369 MZK655365:MZK655369 NJG655365:NJG655369 NTC655365:NTC655369 OCY655365:OCY655369 OMU655365:OMU655369 OWQ655365:OWQ655369 PGM655365:PGM655369 PQI655365:PQI655369 QAE655365:QAE655369 QKA655365:QKA655369 QTW655365:QTW655369 RDS655365:RDS655369 RNO655365:RNO655369 RXK655365:RXK655369 SHG655365:SHG655369 SRC655365:SRC655369 TAY655365:TAY655369 TKU655365:TKU655369 TUQ655365:TUQ655369 UEM655365:UEM655369 UOI655365:UOI655369 UYE655365:UYE655369 VIA655365:VIA655369 VRW655365:VRW655369 WBS655365:WBS655369 WLO655365:WLO655369 WVK655365:WVK655369 C720901:C720905 IY720901:IY720905 SU720901:SU720905 ACQ720901:ACQ720905 AMM720901:AMM720905 AWI720901:AWI720905 BGE720901:BGE720905 BQA720901:BQA720905 BZW720901:BZW720905 CJS720901:CJS720905 CTO720901:CTO720905 DDK720901:DDK720905 DNG720901:DNG720905 DXC720901:DXC720905 EGY720901:EGY720905 EQU720901:EQU720905 FAQ720901:FAQ720905 FKM720901:FKM720905 FUI720901:FUI720905 GEE720901:GEE720905 GOA720901:GOA720905 GXW720901:GXW720905 HHS720901:HHS720905 HRO720901:HRO720905 IBK720901:IBK720905 ILG720901:ILG720905 IVC720901:IVC720905 JEY720901:JEY720905 JOU720901:JOU720905 JYQ720901:JYQ720905 KIM720901:KIM720905 KSI720901:KSI720905 LCE720901:LCE720905 LMA720901:LMA720905 LVW720901:LVW720905 MFS720901:MFS720905 MPO720901:MPO720905 MZK720901:MZK720905 NJG720901:NJG720905 NTC720901:NTC720905 OCY720901:OCY720905 OMU720901:OMU720905 OWQ720901:OWQ720905 PGM720901:PGM720905 PQI720901:PQI720905 QAE720901:QAE720905 QKA720901:QKA720905 QTW720901:QTW720905 RDS720901:RDS720905 RNO720901:RNO720905 RXK720901:RXK720905 SHG720901:SHG720905 SRC720901:SRC720905 TAY720901:TAY720905 TKU720901:TKU720905 TUQ720901:TUQ720905 UEM720901:UEM720905 UOI720901:UOI720905 UYE720901:UYE720905 VIA720901:VIA720905 VRW720901:VRW720905 WBS720901:WBS720905 WLO720901:WLO720905 WVK720901:WVK720905 C786437:C786441 IY786437:IY786441 SU786437:SU786441 ACQ786437:ACQ786441 AMM786437:AMM786441 AWI786437:AWI786441 BGE786437:BGE786441 BQA786437:BQA786441 BZW786437:BZW786441 CJS786437:CJS786441 CTO786437:CTO786441 DDK786437:DDK786441 DNG786437:DNG786441 DXC786437:DXC786441 EGY786437:EGY786441 EQU786437:EQU786441 FAQ786437:FAQ786441 FKM786437:FKM786441 FUI786437:FUI786441 GEE786437:GEE786441 GOA786437:GOA786441 GXW786437:GXW786441 HHS786437:HHS786441 HRO786437:HRO786441 IBK786437:IBK786441 ILG786437:ILG786441 IVC786437:IVC786441 JEY786437:JEY786441 JOU786437:JOU786441 JYQ786437:JYQ786441 KIM786437:KIM786441 KSI786437:KSI786441 LCE786437:LCE786441 LMA786437:LMA786441 LVW786437:LVW786441 MFS786437:MFS786441 MPO786437:MPO786441 MZK786437:MZK786441 NJG786437:NJG786441 NTC786437:NTC786441 OCY786437:OCY786441 OMU786437:OMU786441 OWQ786437:OWQ786441 PGM786437:PGM786441 PQI786437:PQI786441 QAE786437:QAE786441 QKA786437:QKA786441 QTW786437:QTW786441 RDS786437:RDS786441 RNO786437:RNO786441 RXK786437:RXK786441 SHG786437:SHG786441 SRC786437:SRC786441 TAY786437:TAY786441 TKU786437:TKU786441 TUQ786437:TUQ786441 UEM786437:UEM786441 UOI786437:UOI786441 UYE786437:UYE786441 VIA786437:VIA786441 VRW786437:VRW786441 WBS786437:WBS786441 WLO786437:WLO786441 WVK786437:WVK786441 C851973:C851977 IY851973:IY851977 SU851973:SU851977 ACQ851973:ACQ851977 AMM851973:AMM851977 AWI851973:AWI851977 BGE851973:BGE851977 BQA851973:BQA851977 BZW851973:BZW851977 CJS851973:CJS851977 CTO851973:CTO851977 DDK851973:DDK851977 DNG851973:DNG851977 DXC851973:DXC851977 EGY851973:EGY851977 EQU851973:EQU851977 FAQ851973:FAQ851977 FKM851973:FKM851977 FUI851973:FUI851977 GEE851973:GEE851977 GOA851973:GOA851977 GXW851973:GXW851977 HHS851973:HHS851977 HRO851973:HRO851977 IBK851973:IBK851977 ILG851973:ILG851977 IVC851973:IVC851977 JEY851973:JEY851977 JOU851973:JOU851977 JYQ851973:JYQ851977 KIM851973:KIM851977 KSI851973:KSI851977 LCE851973:LCE851977 LMA851973:LMA851977 LVW851973:LVW851977 MFS851973:MFS851977 MPO851973:MPO851977 MZK851973:MZK851977 NJG851973:NJG851977 NTC851973:NTC851977 OCY851973:OCY851977 OMU851973:OMU851977 OWQ851973:OWQ851977 PGM851973:PGM851977 PQI851973:PQI851977 QAE851973:QAE851977 QKA851973:QKA851977 QTW851973:QTW851977 RDS851973:RDS851977 RNO851973:RNO851977 RXK851973:RXK851977 SHG851973:SHG851977 SRC851973:SRC851977 TAY851973:TAY851977 TKU851973:TKU851977 TUQ851973:TUQ851977 UEM851973:UEM851977 UOI851973:UOI851977 UYE851973:UYE851977 VIA851973:VIA851977 VRW851973:VRW851977 WBS851973:WBS851977 WLO851973:WLO851977 WVK851973:WVK851977 C917509:C917513 IY917509:IY917513 SU917509:SU917513 ACQ917509:ACQ917513 AMM917509:AMM917513 AWI917509:AWI917513 BGE917509:BGE917513 BQA917509:BQA917513 BZW917509:BZW917513 CJS917509:CJS917513 CTO917509:CTO917513 DDK917509:DDK917513 DNG917509:DNG917513 DXC917509:DXC917513 EGY917509:EGY917513 EQU917509:EQU917513 FAQ917509:FAQ917513 FKM917509:FKM917513 FUI917509:FUI917513 GEE917509:GEE917513 GOA917509:GOA917513 GXW917509:GXW917513 HHS917509:HHS917513 HRO917509:HRO917513 IBK917509:IBK917513 ILG917509:ILG917513 IVC917509:IVC917513 JEY917509:JEY917513 JOU917509:JOU917513 JYQ917509:JYQ917513 KIM917509:KIM917513 KSI917509:KSI917513 LCE917509:LCE917513 LMA917509:LMA917513 LVW917509:LVW917513 MFS917509:MFS917513 MPO917509:MPO917513 MZK917509:MZK917513 NJG917509:NJG917513 NTC917509:NTC917513 OCY917509:OCY917513 OMU917509:OMU917513 OWQ917509:OWQ917513 PGM917509:PGM917513 PQI917509:PQI917513 QAE917509:QAE917513 QKA917509:QKA917513 QTW917509:QTW917513 RDS917509:RDS917513 RNO917509:RNO917513 RXK917509:RXK917513 SHG917509:SHG917513 SRC917509:SRC917513 TAY917509:TAY917513 TKU917509:TKU917513 TUQ917509:TUQ917513 UEM917509:UEM917513 UOI917509:UOI917513 UYE917509:UYE917513 VIA917509:VIA917513 VRW917509:VRW917513 WBS917509:WBS917513 WLO917509:WLO917513 WVK917509:WVK917513 C983045:C983049 IY983045:IY983049 SU983045:SU983049 ACQ983045:ACQ983049 AMM983045:AMM983049 AWI983045:AWI983049 BGE983045:BGE983049 BQA983045:BQA983049 BZW983045:BZW983049 CJS983045:CJS983049 CTO983045:CTO983049 DDK983045:DDK983049 DNG983045:DNG983049 DXC983045:DXC983049 EGY983045:EGY983049 EQU983045:EQU983049 FAQ983045:FAQ983049 FKM983045:FKM983049 FUI983045:FUI983049 GEE983045:GEE983049 GOA983045:GOA983049 GXW983045:GXW983049 HHS983045:HHS983049 HRO983045:HRO983049 IBK983045:IBK983049 ILG983045:ILG983049 IVC983045:IVC983049 JEY983045:JEY983049 JOU983045:JOU983049 JYQ983045:JYQ983049 KIM983045:KIM983049 KSI983045:KSI983049 LCE983045:LCE983049 LMA983045:LMA983049 LVW983045:LVW983049 MFS983045:MFS983049 MPO983045:MPO983049 MZK983045:MZK983049 NJG983045:NJG983049 NTC983045:NTC983049 OCY983045:OCY983049 OMU983045:OMU983049 OWQ983045:OWQ983049 PGM983045:PGM983049 PQI983045:PQI983049 QAE983045:QAE983049 QKA983045:QKA983049 QTW983045:QTW983049 RDS983045:RDS983049 RNO983045:RNO983049 RXK983045:RXK983049 SHG983045:SHG983049 SRC983045:SRC983049 TAY983045:TAY983049 TKU983045:TKU983049 TUQ983045:TUQ983049 UEM983045:UEM983049 UOI983045:UOI983049 UYE983045:UYE983049 VIA983045:VIA983049 VRW983045:VRW983049 WBS983045:WBS983049 WLO983045:WLO983049 WVK983045:WVK983049" xr:uid="{A798D451-EE7D-4AB2-8C1A-9F517A8C9A8C}">
      <formula1>1</formula1>
      <formula2>8</formula2>
    </dataValidation>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24 IY65524 SU65524 ACQ65524 AMM65524 AWI65524 BGE65524 BQA65524 BZW65524 CJS65524 CTO65524 DDK65524 DNG65524 DXC65524 EGY65524 EQU65524 FAQ65524 FKM65524 FUI65524 GEE65524 GOA65524 GXW65524 HHS65524 HRO65524 IBK65524 ILG65524 IVC65524 JEY65524 JOU65524 JYQ65524 KIM65524 KSI65524 LCE65524 LMA65524 LVW65524 MFS65524 MPO65524 MZK65524 NJG65524 NTC65524 OCY65524 OMU65524 OWQ65524 PGM65524 PQI65524 QAE65524 QKA65524 QTW65524 RDS65524 RNO65524 RXK65524 SHG65524 SRC65524 TAY65524 TKU65524 TUQ65524 UEM65524 UOI65524 UYE65524 VIA65524 VRW65524 WBS65524 WLO65524 WVK65524 C131060 IY131060 SU131060 ACQ131060 AMM131060 AWI131060 BGE131060 BQA131060 BZW131060 CJS131060 CTO131060 DDK131060 DNG131060 DXC131060 EGY131060 EQU131060 FAQ131060 FKM131060 FUI131060 GEE131060 GOA131060 GXW131060 HHS131060 HRO131060 IBK131060 ILG131060 IVC131060 JEY131060 JOU131060 JYQ131060 KIM131060 KSI131060 LCE131060 LMA131060 LVW131060 MFS131060 MPO131060 MZK131060 NJG131060 NTC131060 OCY131060 OMU131060 OWQ131060 PGM131060 PQI131060 QAE131060 QKA131060 QTW131060 RDS131060 RNO131060 RXK131060 SHG131060 SRC131060 TAY131060 TKU131060 TUQ131060 UEM131060 UOI131060 UYE131060 VIA131060 VRW131060 WBS131060 WLO131060 WVK131060 C196596 IY196596 SU196596 ACQ196596 AMM196596 AWI196596 BGE196596 BQA196596 BZW196596 CJS196596 CTO196596 DDK196596 DNG196596 DXC196596 EGY196596 EQU196596 FAQ196596 FKM196596 FUI196596 GEE196596 GOA196596 GXW196596 HHS196596 HRO196596 IBK196596 ILG196596 IVC196596 JEY196596 JOU196596 JYQ196596 KIM196596 KSI196596 LCE196596 LMA196596 LVW196596 MFS196596 MPO196596 MZK196596 NJG196596 NTC196596 OCY196596 OMU196596 OWQ196596 PGM196596 PQI196596 QAE196596 QKA196596 QTW196596 RDS196596 RNO196596 RXK196596 SHG196596 SRC196596 TAY196596 TKU196596 TUQ196596 UEM196596 UOI196596 UYE196596 VIA196596 VRW196596 WBS196596 WLO196596 WVK196596 C262132 IY262132 SU262132 ACQ262132 AMM262132 AWI262132 BGE262132 BQA262132 BZW262132 CJS262132 CTO262132 DDK262132 DNG262132 DXC262132 EGY262132 EQU262132 FAQ262132 FKM262132 FUI262132 GEE262132 GOA262132 GXW262132 HHS262132 HRO262132 IBK262132 ILG262132 IVC262132 JEY262132 JOU262132 JYQ262132 KIM262132 KSI262132 LCE262132 LMA262132 LVW262132 MFS262132 MPO262132 MZK262132 NJG262132 NTC262132 OCY262132 OMU262132 OWQ262132 PGM262132 PQI262132 QAE262132 QKA262132 QTW262132 RDS262132 RNO262132 RXK262132 SHG262132 SRC262132 TAY262132 TKU262132 TUQ262132 UEM262132 UOI262132 UYE262132 VIA262132 VRW262132 WBS262132 WLO262132 WVK262132 C327668 IY327668 SU327668 ACQ327668 AMM327668 AWI327668 BGE327668 BQA327668 BZW327668 CJS327668 CTO327668 DDK327668 DNG327668 DXC327668 EGY327668 EQU327668 FAQ327668 FKM327668 FUI327668 GEE327668 GOA327668 GXW327668 HHS327668 HRO327668 IBK327668 ILG327668 IVC327668 JEY327668 JOU327668 JYQ327668 KIM327668 KSI327668 LCE327668 LMA327668 LVW327668 MFS327668 MPO327668 MZK327668 NJG327668 NTC327668 OCY327668 OMU327668 OWQ327668 PGM327668 PQI327668 QAE327668 QKA327668 QTW327668 RDS327668 RNO327668 RXK327668 SHG327668 SRC327668 TAY327668 TKU327668 TUQ327668 UEM327668 UOI327668 UYE327668 VIA327668 VRW327668 WBS327668 WLO327668 WVK327668 C393204 IY393204 SU393204 ACQ393204 AMM393204 AWI393204 BGE393204 BQA393204 BZW393204 CJS393204 CTO393204 DDK393204 DNG393204 DXC393204 EGY393204 EQU393204 FAQ393204 FKM393204 FUI393204 GEE393204 GOA393204 GXW393204 HHS393204 HRO393204 IBK393204 ILG393204 IVC393204 JEY393204 JOU393204 JYQ393204 KIM393204 KSI393204 LCE393204 LMA393204 LVW393204 MFS393204 MPO393204 MZK393204 NJG393204 NTC393204 OCY393204 OMU393204 OWQ393204 PGM393204 PQI393204 QAE393204 QKA393204 QTW393204 RDS393204 RNO393204 RXK393204 SHG393204 SRC393204 TAY393204 TKU393204 TUQ393204 UEM393204 UOI393204 UYE393204 VIA393204 VRW393204 WBS393204 WLO393204 WVK393204 C458740 IY458740 SU458740 ACQ458740 AMM458740 AWI458740 BGE458740 BQA458740 BZW458740 CJS458740 CTO458740 DDK458740 DNG458740 DXC458740 EGY458740 EQU458740 FAQ458740 FKM458740 FUI458740 GEE458740 GOA458740 GXW458740 HHS458740 HRO458740 IBK458740 ILG458740 IVC458740 JEY458740 JOU458740 JYQ458740 KIM458740 KSI458740 LCE458740 LMA458740 LVW458740 MFS458740 MPO458740 MZK458740 NJG458740 NTC458740 OCY458740 OMU458740 OWQ458740 PGM458740 PQI458740 QAE458740 QKA458740 QTW458740 RDS458740 RNO458740 RXK458740 SHG458740 SRC458740 TAY458740 TKU458740 TUQ458740 UEM458740 UOI458740 UYE458740 VIA458740 VRW458740 WBS458740 WLO458740 WVK458740 C524276 IY524276 SU524276 ACQ524276 AMM524276 AWI524276 BGE524276 BQA524276 BZW524276 CJS524276 CTO524276 DDK524276 DNG524276 DXC524276 EGY524276 EQU524276 FAQ524276 FKM524276 FUI524276 GEE524276 GOA524276 GXW524276 HHS524276 HRO524276 IBK524276 ILG524276 IVC524276 JEY524276 JOU524276 JYQ524276 KIM524276 KSI524276 LCE524276 LMA524276 LVW524276 MFS524276 MPO524276 MZK524276 NJG524276 NTC524276 OCY524276 OMU524276 OWQ524276 PGM524276 PQI524276 QAE524276 QKA524276 QTW524276 RDS524276 RNO524276 RXK524276 SHG524276 SRC524276 TAY524276 TKU524276 TUQ524276 UEM524276 UOI524276 UYE524276 VIA524276 VRW524276 WBS524276 WLO524276 WVK524276 C589812 IY589812 SU589812 ACQ589812 AMM589812 AWI589812 BGE589812 BQA589812 BZW589812 CJS589812 CTO589812 DDK589812 DNG589812 DXC589812 EGY589812 EQU589812 FAQ589812 FKM589812 FUI589812 GEE589812 GOA589812 GXW589812 HHS589812 HRO589812 IBK589812 ILG589812 IVC589812 JEY589812 JOU589812 JYQ589812 KIM589812 KSI589812 LCE589812 LMA589812 LVW589812 MFS589812 MPO589812 MZK589812 NJG589812 NTC589812 OCY589812 OMU589812 OWQ589812 PGM589812 PQI589812 QAE589812 QKA589812 QTW589812 RDS589812 RNO589812 RXK589812 SHG589812 SRC589812 TAY589812 TKU589812 TUQ589812 UEM589812 UOI589812 UYE589812 VIA589812 VRW589812 WBS589812 WLO589812 WVK589812 C655348 IY655348 SU655348 ACQ655348 AMM655348 AWI655348 BGE655348 BQA655348 BZW655348 CJS655348 CTO655348 DDK655348 DNG655348 DXC655348 EGY655348 EQU655348 FAQ655348 FKM655348 FUI655348 GEE655348 GOA655348 GXW655348 HHS655348 HRO655348 IBK655348 ILG655348 IVC655348 JEY655348 JOU655348 JYQ655348 KIM655348 KSI655348 LCE655348 LMA655348 LVW655348 MFS655348 MPO655348 MZK655348 NJG655348 NTC655348 OCY655348 OMU655348 OWQ655348 PGM655348 PQI655348 QAE655348 QKA655348 QTW655348 RDS655348 RNO655348 RXK655348 SHG655348 SRC655348 TAY655348 TKU655348 TUQ655348 UEM655348 UOI655348 UYE655348 VIA655348 VRW655348 WBS655348 WLO655348 WVK655348 C720884 IY720884 SU720884 ACQ720884 AMM720884 AWI720884 BGE720884 BQA720884 BZW720884 CJS720884 CTO720884 DDK720884 DNG720884 DXC720884 EGY720884 EQU720884 FAQ720884 FKM720884 FUI720884 GEE720884 GOA720884 GXW720884 HHS720884 HRO720884 IBK720884 ILG720884 IVC720884 JEY720884 JOU720884 JYQ720884 KIM720884 KSI720884 LCE720884 LMA720884 LVW720884 MFS720884 MPO720884 MZK720884 NJG720884 NTC720884 OCY720884 OMU720884 OWQ720884 PGM720884 PQI720884 QAE720884 QKA720884 QTW720884 RDS720884 RNO720884 RXK720884 SHG720884 SRC720884 TAY720884 TKU720884 TUQ720884 UEM720884 UOI720884 UYE720884 VIA720884 VRW720884 WBS720884 WLO720884 WVK720884 C786420 IY786420 SU786420 ACQ786420 AMM786420 AWI786420 BGE786420 BQA786420 BZW786420 CJS786420 CTO786420 DDK786420 DNG786420 DXC786420 EGY786420 EQU786420 FAQ786420 FKM786420 FUI786420 GEE786420 GOA786420 GXW786420 HHS786420 HRO786420 IBK786420 ILG786420 IVC786420 JEY786420 JOU786420 JYQ786420 KIM786420 KSI786420 LCE786420 LMA786420 LVW786420 MFS786420 MPO786420 MZK786420 NJG786420 NTC786420 OCY786420 OMU786420 OWQ786420 PGM786420 PQI786420 QAE786420 QKA786420 QTW786420 RDS786420 RNO786420 RXK786420 SHG786420 SRC786420 TAY786420 TKU786420 TUQ786420 UEM786420 UOI786420 UYE786420 VIA786420 VRW786420 WBS786420 WLO786420 WVK786420 C851956 IY851956 SU851956 ACQ851956 AMM851956 AWI851956 BGE851956 BQA851956 BZW851956 CJS851956 CTO851956 DDK851956 DNG851956 DXC851956 EGY851956 EQU851956 FAQ851956 FKM851956 FUI851956 GEE851956 GOA851956 GXW851956 HHS851956 HRO851956 IBK851956 ILG851956 IVC851956 JEY851956 JOU851956 JYQ851956 KIM851956 KSI851956 LCE851956 LMA851956 LVW851956 MFS851956 MPO851956 MZK851956 NJG851956 NTC851956 OCY851956 OMU851956 OWQ851956 PGM851956 PQI851956 QAE851956 QKA851956 QTW851956 RDS851956 RNO851956 RXK851956 SHG851956 SRC851956 TAY851956 TKU851956 TUQ851956 UEM851956 UOI851956 UYE851956 VIA851956 VRW851956 WBS851956 WLO851956 WVK851956 C917492 IY917492 SU917492 ACQ917492 AMM917492 AWI917492 BGE917492 BQA917492 BZW917492 CJS917492 CTO917492 DDK917492 DNG917492 DXC917492 EGY917492 EQU917492 FAQ917492 FKM917492 FUI917492 GEE917492 GOA917492 GXW917492 HHS917492 HRO917492 IBK917492 ILG917492 IVC917492 JEY917492 JOU917492 JYQ917492 KIM917492 KSI917492 LCE917492 LMA917492 LVW917492 MFS917492 MPO917492 MZK917492 NJG917492 NTC917492 OCY917492 OMU917492 OWQ917492 PGM917492 PQI917492 QAE917492 QKA917492 QTW917492 RDS917492 RNO917492 RXK917492 SHG917492 SRC917492 TAY917492 TKU917492 TUQ917492 UEM917492 UOI917492 UYE917492 VIA917492 VRW917492 WBS917492 WLO917492 WVK917492 C983028 IY983028 SU983028 ACQ983028 AMM983028 AWI983028 BGE983028 BQA983028 BZW983028 CJS983028 CTO983028 DDK983028 DNG983028 DXC983028 EGY983028 EQU983028 FAQ983028 FKM983028 FUI983028 GEE983028 GOA983028 GXW983028 HHS983028 HRO983028 IBK983028 ILG983028 IVC983028 JEY983028 JOU983028 JYQ983028 KIM983028 KSI983028 LCE983028 LMA983028 LVW983028 MFS983028 MPO983028 MZK983028 NJG983028 NTC983028 OCY983028 OMU983028 OWQ983028 PGM983028 PQI983028 QAE983028 QKA983028 QTW983028 RDS983028 RNO983028 RXK983028 SHG983028 SRC983028 TAY983028 TKU983028 TUQ983028 UEM983028 UOI983028 UYE983028 VIA983028 VRW983028 WBS983028 WLO983028 WVK983028" xr:uid="{3B899367-0AEF-440E-95A5-0E7290D50C55}">
      <formula1>$J$14:$J$16</formula1>
    </dataValidation>
    <dataValidation type="whole" allowBlank="1" showInputMessage="1" showErrorMessage="1" errorTitle="Error" error="ARFF Companies must be a whole number between 1 and 12." sqref="C17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C65530 IY65530 SU65530 ACQ65530 AMM65530 AWI65530 BGE65530 BQA65530 BZW65530 CJS65530 CTO65530 DDK65530 DNG65530 DXC65530 EGY65530 EQU65530 FAQ65530 FKM65530 FUI65530 GEE65530 GOA65530 GXW65530 HHS65530 HRO65530 IBK65530 ILG65530 IVC65530 JEY65530 JOU65530 JYQ65530 KIM65530 KSI65530 LCE65530 LMA65530 LVW65530 MFS65530 MPO65530 MZK65530 NJG65530 NTC65530 OCY65530 OMU65530 OWQ65530 PGM65530 PQI65530 QAE65530 QKA65530 QTW65530 RDS65530 RNO65530 RXK65530 SHG65530 SRC65530 TAY65530 TKU65530 TUQ65530 UEM65530 UOI65530 UYE65530 VIA65530 VRW65530 WBS65530 WLO65530 WVK65530 C131066 IY131066 SU131066 ACQ131066 AMM131066 AWI131066 BGE131066 BQA131066 BZW131066 CJS131066 CTO131066 DDK131066 DNG131066 DXC131066 EGY131066 EQU131066 FAQ131066 FKM131066 FUI131066 GEE131066 GOA131066 GXW131066 HHS131066 HRO131066 IBK131066 ILG131066 IVC131066 JEY131066 JOU131066 JYQ131066 KIM131066 KSI131066 LCE131066 LMA131066 LVW131066 MFS131066 MPO131066 MZK131066 NJG131066 NTC131066 OCY131066 OMU131066 OWQ131066 PGM131066 PQI131066 QAE131066 QKA131066 QTW131066 RDS131066 RNO131066 RXK131066 SHG131066 SRC131066 TAY131066 TKU131066 TUQ131066 UEM131066 UOI131066 UYE131066 VIA131066 VRW131066 WBS131066 WLO131066 WVK131066 C196602 IY196602 SU196602 ACQ196602 AMM196602 AWI196602 BGE196602 BQA196602 BZW196602 CJS196602 CTO196602 DDK196602 DNG196602 DXC196602 EGY196602 EQU196602 FAQ196602 FKM196602 FUI196602 GEE196602 GOA196602 GXW196602 HHS196602 HRO196602 IBK196602 ILG196602 IVC196602 JEY196602 JOU196602 JYQ196602 KIM196602 KSI196602 LCE196602 LMA196602 LVW196602 MFS196602 MPO196602 MZK196602 NJG196602 NTC196602 OCY196602 OMU196602 OWQ196602 PGM196602 PQI196602 QAE196602 QKA196602 QTW196602 RDS196602 RNO196602 RXK196602 SHG196602 SRC196602 TAY196602 TKU196602 TUQ196602 UEM196602 UOI196602 UYE196602 VIA196602 VRW196602 WBS196602 WLO196602 WVK196602 C262138 IY262138 SU262138 ACQ262138 AMM262138 AWI262138 BGE262138 BQA262138 BZW262138 CJS262138 CTO262138 DDK262138 DNG262138 DXC262138 EGY262138 EQU262138 FAQ262138 FKM262138 FUI262138 GEE262138 GOA262138 GXW262138 HHS262138 HRO262138 IBK262138 ILG262138 IVC262138 JEY262138 JOU262138 JYQ262138 KIM262138 KSI262138 LCE262138 LMA262138 LVW262138 MFS262138 MPO262138 MZK262138 NJG262138 NTC262138 OCY262138 OMU262138 OWQ262138 PGM262138 PQI262138 QAE262138 QKA262138 QTW262138 RDS262138 RNO262138 RXK262138 SHG262138 SRC262138 TAY262138 TKU262138 TUQ262138 UEM262138 UOI262138 UYE262138 VIA262138 VRW262138 WBS262138 WLO262138 WVK262138 C327674 IY327674 SU327674 ACQ327674 AMM327674 AWI327674 BGE327674 BQA327674 BZW327674 CJS327674 CTO327674 DDK327674 DNG327674 DXC327674 EGY327674 EQU327674 FAQ327674 FKM327674 FUI327674 GEE327674 GOA327674 GXW327674 HHS327674 HRO327674 IBK327674 ILG327674 IVC327674 JEY327674 JOU327674 JYQ327674 KIM327674 KSI327674 LCE327674 LMA327674 LVW327674 MFS327674 MPO327674 MZK327674 NJG327674 NTC327674 OCY327674 OMU327674 OWQ327674 PGM327674 PQI327674 QAE327674 QKA327674 QTW327674 RDS327674 RNO327674 RXK327674 SHG327674 SRC327674 TAY327674 TKU327674 TUQ327674 UEM327674 UOI327674 UYE327674 VIA327674 VRW327674 WBS327674 WLO327674 WVK327674 C393210 IY393210 SU393210 ACQ393210 AMM393210 AWI393210 BGE393210 BQA393210 BZW393210 CJS393210 CTO393210 DDK393210 DNG393210 DXC393210 EGY393210 EQU393210 FAQ393210 FKM393210 FUI393210 GEE393210 GOA393210 GXW393210 HHS393210 HRO393210 IBK393210 ILG393210 IVC393210 JEY393210 JOU393210 JYQ393210 KIM393210 KSI393210 LCE393210 LMA393210 LVW393210 MFS393210 MPO393210 MZK393210 NJG393210 NTC393210 OCY393210 OMU393210 OWQ393210 PGM393210 PQI393210 QAE393210 QKA393210 QTW393210 RDS393210 RNO393210 RXK393210 SHG393210 SRC393210 TAY393210 TKU393210 TUQ393210 UEM393210 UOI393210 UYE393210 VIA393210 VRW393210 WBS393210 WLO393210 WVK393210 C458746 IY458746 SU458746 ACQ458746 AMM458746 AWI458746 BGE458746 BQA458746 BZW458746 CJS458746 CTO458746 DDK458746 DNG458746 DXC458746 EGY458746 EQU458746 FAQ458746 FKM458746 FUI458746 GEE458746 GOA458746 GXW458746 HHS458746 HRO458746 IBK458746 ILG458746 IVC458746 JEY458746 JOU458746 JYQ458746 KIM458746 KSI458746 LCE458746 LMA458746 LVW458746 MFS458746 MPO458746 MZK458746 NJG458746 NTC458746 OCY458746 OMU458746 OWQ458746 PGM458746 PQI458746 QAE458746 QKA458746 QTW458746 RDS458746 RNO458746 RXK458746 SHG458746 SRC458746 TAY458746 TKU458746 TUQ458746 UEM458746 UOI458746 UYE458746 VIA458746 VRW458746 WBS458746 WLO458746 WVK458746 C524282 IY524282 SU524282 ACQ524282 AMM524282 AWI524282 BGE524282 BQA524282 BZW524282 CJS524282 CTO524282 DDK524282 DNG524282 DXC524282 EGY524282 EQU524282 FAQ524282 FKM524282 FUI524282 GEE524282 GOA524282 GXW524282 HHS524282 HRO524282 IBK524282 ILG524282 IVC524282 JEY524282 JOU524282 JYQ524282 KIM524282 KSI524282 LCE524282 LMA524282 LVW524282 MFS524282 MPO524282 MZK524282 NJG524282 NTC524282 OCY524282 OMU524282 OWQ524282 PGM524282 PQI524282 QAE524282 QKA524282 QTW524282 RDS524282 RNO524282 RXK524282 SHG524282 SRC524282 TAY524282 TKU524282 TUQ524282 UEM524282 UOI524282 UYE524282 VIA524282 VRW524282 WBS524282 WLO524282 WVK524282 C589818 IY589818 SU589818 ACQ589818 AMM589818 AWI589818 BGE589818 BQA589818 BZW589818 CJS589818 CTO589818 DDK589818 DNG589818 DXC589818 EGY589818 EQU589818 FAQ589818 FKM589818 FUI589818 GEE589818 GOA589818 GXW589818 HHS589818 HRO589818 IBK589818 ILG589818 IVC589818 JEY589818 JOU589818 JYQ589818 KIM589818 KSI589818 LCE589818 LMA589818 LVW589818 MFS589818 MPO589818 MZK589818 NJG589818 NTC589818 OCY589818 OMU589818 OWQ589818 PGM589818 PQI589818 QAE589818 QKA589818 QTW589818 RDS589818 RNO589818 RXK589818 SHG589818 SRC589818 TAY589818 TKU589818 TUQ589818 UEM589818 UOI589818 UYE589818 VIA589818 VRW589818 WBS589818 WLO589818 WVK589818 C655354 IY655354 SU655354 ACQ655354 AMM655354 AWI655354 BGE655354 BQA655354 BZW655354 CJS655354 CTO655354 DDK655354 DNG655354 DXC655354 EGY655354 EQU655354 FAQ655354 FKM655354 FUI655354 GEE655354 GOA655354 GXW655354 HHS655354 HRO655354 IBK655354 ILG655354 IVC655354 JEY655354 JOU655354 JYQ655354 KIM655354 KSI655354 LCE655354 LMA655354 LVW655354 MFS655354 MPO655354 MZK655354 NJG655354 NTC655354 OCY655354 OMU655354 OWQ655354 PGM655354 PQI655354 QAE655354 QKA655354 QTW655354 RDS655354 RNO655354 RXK655354 SHG655354 SRC655354 TAY655354 TKU655354 TUQ655354 UEM655354 UOI655354 UYE655354 VIA655354 VRW655354 WBS655354 WLO655354 WVK655354 C720890 IY720890 SU720890 ACQ720890 AMM720890 AWI720890 BGE720890 BQA720890 BZW720890 CJS720890 CTO720890 DDK720890 DNG720890 DXC720890 EGY720890 EQU720890 FAQ720890 FKM720890 FUI720890 GEE720890 GOA720890 GXW720890 HHS720890 HRO720890 IBK720890 ILG720890 IVC720890 JEY720890 JOU720890 JYQ720890 KIM720890 KSI720890 LCE720890 LMA720890 LVW720890 MFS720890 MPO720890 MZK720890 NJG720890 NTC720890 OCY720890 OMU720890 OWQ720890 PGM720890 PQI720890 QAE720890 QKA720890 QTW720890 RDS720890 RNO720890 RXK720890 SHG720890 SRC720890 TAY720890 TKU720890 TUQ720890 UEM720890 UOI720890 UYE720890 VIA720890 VRW720890 WBS720890 WLO720890 WVK720890 C786426 IY786426 SU786426 ACQ786426 AMM786426 AWI786426 BGE786426 BQA786426 BZW786426 CJS786426 CTO786426 DDK786426 DNG786426 DXC786426 EGY786426 EQU786426 FAQ786426 FKM786426 FUI786426 GEE786426 GOA786426 GXW786426 HHS786426 HRO786426 IBK786426 ILG786426 IVC786426 JEY786426 JOU786426 JYQ786426 KIM786426 KSI786426 LCE786426 LMA786426 LVW786426 MFS786426 MPO786426 MZK786426 NJG786426 NTC786426 OCY786426 OMU786426 OWQ786426 PGM786426 PQI786426 QAE786426 QKA786426 QTW786426 RDS786426 RNO786426 RXK786426 SHG786426 SRC786426 TAY786426 TKU786426 TUQ786426 UEM786426 UOI786426 UYE786426 VIA786426 VRW786426 WBS786426 WLO786426 WVK786426 C851962 IY851962 SU851962 ACQ851962 AMM851962 AWI851962 BGE851962 BQA851962 BZW851962 CJS851962 CTO851962 DDK851962 DNG851962 DXC851962 EGY851962 EQU851962 FAQ851962 FKM851962 FUI851962 GEE851962 GOA851962 GXW851962 HHS851962 HRO851962 IBK851962 ILG851962 IVC851962 JEY851962 JOU851962 JYQ851962 KIM851962 KSI851962 LCE851962 LMA851962 LVW851962 MFS851962 MPO851962 MZK851962 NJG851962 NTC851962 OCY851962 OMU851962 OWQ851962 PGM851962 PQI851962 QAE851962 QKA851962 QTW851962 RDS851962 RNO851962 RXK851962 SHG851962 SRC851962 TAY851962 TKU851962 TUQ851962 UEM851962 UOI851962 UYE851962 VIA851962 VRW851962 WBS851962 WLO851962 WVK851962 C917498 IY917498 SU917498 ACQ917498 AMM917498 AWI917498 BGE917498 BQA917498 BZW917498 CJS917498 CTO917498 DDK917498 DNG917498 DXC917498 EGY917498 EQU917498 FAQ917498 FKM917498 FUI917498 GEE917498 GOA917498 GXW917498 HHS917498 HRO917498 IBK917498 ILG917498 IVC917498 JEY917498 JOU917498 JYQ917498 KIM917498 KSI917498 LCE917498 LMA917498 LVW917498 MFS917498 MPO917498 MZK917498 NJG917498 NTC917498 OCY917498 OMU917498 OWQ917498 PGM917498 PQI917498 QAE917498 QKA917498 QTW917498 RDS917498 RNO917498 RXK917498 SHG917498 SRC917498 TAY917498 TKU917498 TUQ917498 UEM917498 UOI917498 UYE917498 VIA917498 VRW917498 WBS917498 WLO917498 WVK917498 C983034 IY983034 SU983034 ACQ983034 AMM983034 AWI983034 BGE983034 BQA983034 BZW983034 CJS983034 CTO983034 DDK983034 DNG983034 DXC983034 EGY983034 EQU983034 FAQ983034 FKM983034 FUI983034 GEE983034 GOA983034 GXW983034 HHS983034 HRO983034 IBK983034 ILG983034 IVC983034 JEY983034 JOU983034 JYQ983034 KIM983034 KSI983034 LCE983034 LMA983034 LVW983034 MFS983034 MPO983034 MZK983034 NJG983034 NTC983034 OCY983034 OMU983034 OWQ983034 PGM983034 PQI983034 QAE983034 QKA983034 QTW983034 RDS983034 RNO983034 RXK983034 SHG983034 SRC983034 TAY983034 TKU983034 TUQ983034 UEM983034 UOI983034 UYE983034 VIA983034 VRW983034 WBS983034 WLO983034 WVK983034" xr:uid="{9FAE030B-9768-4045-930C-3DD8F2D1DC73}">
      <formula1>1</formula1>
      <formula2>12</formula2>
    </dataValidation>
    <dataValidation type="whole" allowBlank="1" showInputMessage="1" showErrorMessage="1" errorTitle="Error" error="Modification to dorm room count must be a whole number between -10 and 10." sqref="C22 IY22 SU22 ACQ22 AMM22 AWI22 BGE22 BQA22 BZW22 CJS22 CTO22 DDK22 DNG22 DXC22 EGY22 EQU22 FAQ22 FKM22 FUI22 GEE22 GOA22 GXW22 HHS22 HRO22 IBK22 ILG22 IVC22 JEY22 JOU22 JYQ22 KIM22 KSI22 LCE22 LMA22 LVW22 MFS22 MPO22 MZK22 NJG22 NTC22 OCY22 OMU22 OWQ22 PGM22 PQI22 QAE22 QKA22 QTW22 RDS22 RNO22 RXK22 SHG22 SRC22 TAY22 TKU22 TUQ22 UEM22 UOI22 UYE22 VIA22 VRW22 WBS22 WLO22 WVK22 C65535 IY65535 SU65535 ACQ65535 AMM65535 AWI65535 BGE65535 BQA65535 BZW65535 CJS65535 CTO65535 DDK65535 DNG65535 DXC65535 EGY65535 EQU65535 FAQ65535 FKM65535 FUI65535 GEE65535 GOA65535 GXW65535 HHS65535 HRO65535 IBK65535 ILG65535 IVC65535 JEY65535 JOU65535 JYQ65535 KIM65535 KSI65535 LCE65535 LMA65535 LVW65535 MFS65535 MPO65535 MZK65535 NJG65535 NTC65535 OCY65535 OMU65535 OWQ65535 PGM65535 PQI65535 QAE65535 QKA65535 QTW65535 RDS65535 RNO65535 RXK65535 SHG65535 SRC65535 TAY65535 TKU65535 TUQ65535 UEM65535 UOI65535 UYE65535 VIA65535 VRW65535 WBS65535 WLO65535 WVK65535 C131071 IY131071 SU131071 ACQ131071 AMM131071 AWI131071 BGE131071 BQA131071 BZW131071 CJS131071 CTO131071 DDK131071 DNG131071 DXC131071 EGY131071 EQU131071 FAQ131071 FKM131071 FUI131071 GEE131071 GOA131071 GXW131071 HHS131071 HRO131071 IBK131071 ILG131071 IVC131071 JEY131071 JOU131071 JYQ131071 KIM131071 KSI131071 LCE131071 LMA131071 LVW131071 MFS131071 MPO131071 MZK131071 NJG131071 NTC131071 OCY131071 OMU131071 OWQ131071 PGM131071 PQI131071 QAE131071 QKA131071 QTW131071 RDS131071 RNO131071 RXK131071 SHG131071 SRC131071 TAY131071 TKU131071 TUQ131071 UEM131071 UOI131071 UYE131071 VIA131071 VRW131071 WBS131071 WLO131071 WVK131071 C196607 IY196607 SU196607 ACQ196607 AMM196607 AWI196607 BGE196607 BQA196607 BZW196607 CJS196607 CTO196607 DDK196607 DNG196607 DXC196607 EGY196607 EQU196607 FAQ196607 FKM196607 FUI196607 GEE196607 GOA196607 GXW196607 HHS196607 HRO196607 IBK196607 ILG196607 IVC196607 JEY196607 JOU196607 JYQ196607 KIM196607 KSI196607 LCE196607 LMA196607 LVW196607 MFS196607 MPO196607 MZK196607 NJG196607 NTC196607 OCY196607 OMU196607 OWQ196607 PGM196607 PQI196607 QAE196607 QKA196607 QTW196607 RDS196607 RNO196607 RXK196607 SHG196607 SRC196607 TAY196607 TKU196607 TUQ196607 UEM196607 UOI196607 UYE196607 VIA196607 VRW196607 WBS196607 WLO196607 WVK196607 C262143 IY262143 SU262143 ACQ262143 AMM262143 AWI262143 BGE262143 BQA262143 BZW262143 CJS262143 CTO262143 DDK262143 DNG262143 DXC262143 EGY262143 EQU262143 FAQ262143 FKM262143 FUI262143 GEE262143 GOA262143 GXW262143 HHS262143 HRO262143 IBK262143 ILG262143 IVC262143 JEY262143 JOU262143 JYQ262143 KIM262143 KSI262143 LCE262143 LMA262143 LVW262143 MFS262143 MPO262143 MZK262143 NJG262143 NTC262143 OCY262143 OMU262143 OWQ262143 PGM262143 PQI262143 QAE262143 QKA262143 QTW262143 RDS262143 RNO262143 RXK262143 SHG262143 SRC262143 TAY262143 TKU262143 TUQ262143 UEM262143 UOI262143 UYE262143 VIA262143 VRW262143 WBS262143 WLO262143 WVK262143 C327679 IY327679 SU327679 ACQ327679 AMM327679 AWI327679 BGE327679 BQA327679 BZW327679 CJS327679 CTO327679 DDK327679 DNG327679 DXC327679 EGY327679 EQU327679 FAQ327679 FKM327679 FUI327679 GEE327679 GOA327679 GXW327679 HHS327679 HRO327679 IBK327679 ILG327679 IVC327679 JEY327679 JOU327679 JYQ327679 KIM327679 KSI327679 LCE327679 LMA327679 LVW327679 MFS327679 MPO327679 MZK327679 NJG327679 NTC327679 OCY327679 OMU327679 OWQ327679 PGM327679 PQI327679 QAE327679 QKA327679 QTW327679 RDS327679 RNO327679 RXK327679 SHG327679 SRC327679 TAY327679 TKU327679 TUQ327679 UEM327679 UOI327679 UYE327679 VIA327679 VRW327679 WBS327679 WLO327679 WVK327679 C393215 IY393215 SU393215 ACQ393215 AMM393215 AWI393215 BGE393215 BQA393215 BZW393215 CJS393215 CTO393215 DDK393215 DNG393215 DXC393215 EGY393215 EQU393215 FAQ393215 FKM393215 FUI393215 GEE393215 GOA393215 GXW393215 HHS393215 HRO393215 IBK393215 ILG393215 IVC393215 JEY393215 JOU393215 JYQ393215 KIM393215 KSI393215 LCE393215 LMA393215 LVW393215 MFS393215 MPO393215 MZK393215 NJG393215 NTC393215 OCY393215 OMU393215 OWQ393215 PGM393215 PQI393215 QAE393215 QKA393215 QTW393215 RDS393215 RNO393215 RXK393215 SHG393215 SRC393215 TAY393215 TKU393215 TUQ393215 UEM393215 UOI393215 UYE393215 VIA393215 VRW393215 WBS393215 WLO393215 WVK393215 C458751 IY458751 SU458751 ACQ458751 AMM458751 AWI458751 BGE458751 BQA458751 BZW458751 CJS458751 CTO458751 DDK458751 DNG458751 DXC458751 EGY458751 EQU458751 FAQ458751 FKM458751 FUI458751 GEE458751 GOA458751 GXW458751 HHS458751 HRO458751 IBK458751 ILG458751 IVC458751 JEY458751 JOU458751 JYQ458751 KIM458751 KSI458751 LCE458751 LMA458751 LVW458751 MFS458751 MPO458751 MZK458751 NJG458751 NTC458751 OCY458751 OMU458751 OWQ458751 PGM458751 PQI458751 QAE458751 QKA458751 QTW458751 RDS458751 RNO458751 RXK458751 SHG458751 SRC458751 TAY458751 TKU458751 TUQ458751 UEM458751 UOI458751 UYE458751 VIA458751 VRW458751 WBS458751 WLO458751 WVK458751 C524287 IY524287 SU524287 ACQ524287 AMM524287 AWI524287 BGE524287 BQA524287 BZW524287 CJS524287 CTO524287 DDK524287 DNG524287 DXC524287 EGY524287 EQU524287 FAQ524287 FKM524287 FUI524287 GEE524287 GOA524287 GXW524287 HHS524287 HRO524287 IBK524287 ILG524287 IVC524287 JEY524287 JOU524287 JYQ524287 KIM524287 KSI524287 LCE524287 LMA524287 LVW524287 MFS524287 MPO524287 MZK524287 NJG524287 NTC524287 OCY524287 OMU524287 OWQ524287 PGM524287 PQI524287 QAE524287 QKA524287 QTW524287 RDS524287 RNO524287 RXK524287 SHG524287 SRC524287 TAY524287 TKU524287 TUQ524287 UEM524287 UOI524287 UYE524287 VIA524287 VRW524287 WBS524287 WLO524287 WVK524287 C589823 IY589823 SU589823 ACQ589823 AMM589823 AWI589823 BGE589823 BQA589823 BZW589823 CJS589823 CTO589823 DDK589823 DNG589823 DXC589823 EGY589823 EQU589823 FAQ589823 FKM589823 FUI589823 GEE589823 GOA589823 GXW589823 HHS589823 HRO589823 IBK589823 ILG589823 IVC589823 JEY589823 JOU589823 JYQ589823 KIM589823 KSI589823 LCE589823 LMA589823 LVW589823 MFS589823 MPO589823 MZK589823 NJG589823 NTC589823 OCY589823 OMU589823 OWQ589823 PGM589823 PQI589823 QAE589823 QKA589823 QTW589823 RDS589823 RNO589823 RXK589823 SHG589823 SRC589823 TAY589823 TKU589823 TUQ589823 UEM589823 UOI589823 UYE589823 VIA589823 VRW589823 WBS589823 WLO589823 WVK589823 C655359 IY655359 SU655359 ACQ655359 AMM655359 AWI655359 BGE655359 BQA655359 BZW655359 CJS655359 CTO655359 DDK655359 DNG655359 DXC655359 EGY655359 EQU655359 FAQ655359 FKM655359 FUI655359 GEE655359 GOA655359 GXW655359 HHS655359 HRO655359 IBK655359 ILG655359 IVC655359 JEY655359 JOU655359 JYQ655359 KIM655359 KSI655359 LCE655359 LMA655359 LVW655359 MFS655359 MPO655359 MZK655359 NJG655359 NTC655359 OCY655359 OMU655359 OWQ655359 PGM655359 PQI655359 QAE655359 QKA655359 QTW655359 RDS655359 RNO655359 RXK655359 SHG655359 SRC655359 TAY655359 TKU655359 TUQ655359 UEM655359 UOI655359 UYE655359 VIA655359 VRW655359 WBS655359 WLO655359 WVK655359 C720895 IY720895 SU720895 ACQ720895 AMM720895 AWI720895 BGE720895 BQA720895 BZW720895 CJS720895 CTO720895 DDK720895 DNG720895 DXC720895 EGY720895 EQU720895 FAQ720895 FKM720895 FUI720895 GEE720895 GOA720895 GXW720895 HHS720895 HRO720895 IBK720895 ILG720895 IVC720895 JEY720895 JOU720895 JYQ720895 KIM720895 KSI720895 LCE720895 LMA720895 LVW720895 MFS720895 MPO720895 MZK720895 NJG720895 NTC720895 OCY720895 OMU720895 OWQ720895 PGM720895 PQI720895 QAE720895 QKA720895 QTW720895 RDS720895 RNO720895 RXK720895 SHG720895 SRC720895 TAY720895 TKU720895 TUQ720895 UEM720895 UOI720895 UYE720895 VIA720895 VRW720895 WBS720895 WLO720895 WVK720895 C786431 IY786431 SU786431 ACQ786431 AMM786431 AWI786431 BGE786431 BQA786431 BZW786431 CJS786431 CTO786431 DDK786431 DNG786431 DXC786431 EGY786431 EQU786431 FAQ786431 FKM786431 FUI786431 GEE786431 GOA786431 GXW786431 HHS786431 HRO786431 IBK786431 ILG786431 IVC786431 JEY786431 JOU786431 JYQ786431 KIM786431 KSI786431 LCE786431 LMA786431 LVW786431 MFS786431 MPO786431 MZK786431 NJG786431 NTC786431 OCY786431 OMU786431 OWQ786431 PGM786431 PQI786431 QAE786431 QKA786431 QTW786431 RDS786431 RNO786431 RXK786431 SHG786431 SRC786431 TAY786431 TKU786431 TUQ786431 UEM786431 UOI786431 UYE786431 VIA786431 VRW786431 WBS786431 WLO786431 WVK786431 C851967 IY851967 SU851967 ACQ851967 AMM851967 AWI851967 BGE851967 BQA851967 BZW851967 CJS851967 CTO851967 DDK851967 DNG851967 DXC851967 EGY851967 EQU851967 FAQ851967 FKM851967 FUI851967 GEE851967 GOA851967 GXW851967 HHS851967 HRO851967 IBK851967 ILG851967 IVC851967 JEY851967 JOU851967 JYQ851967 KIM851967 KSI851967 LCE851967 LMA851967 LVW851967 MFS851967 MPO851967 MZK851967 NJG851967 NTC851967 OCY851967 OMU851967 OWQ851967 PGM851967 PQI851967 QAE851967 QKA851967 QTW851967 RDS851967 RNO851967 RXK851967 SHG851967 SRC851967 TAY851967 TKU851967 TUQ851967 UEM851967 UOI851967 UYE851967 VIA851967 VRW851967 WBS851967 WLO851967 WVK851967 C917503 IY917503 SU917503 ACQ917503 AMM917503 AWI917503 BGE917503 BQA917503 BZW917503 CJS917503 CTO917503 DDK917503 DNG917503 DXC917503 EGY917503 EQU917503 FAQ917503 FKM917503 FUI917503 GEE917503 GOA917503 GXW917503 HHS917503 HRO917503 IBK917503 ILG917503 IVC917503 JEY917503 JOU917503 JYQ917503 KIM917503 KSI917503 LCE917503 LMA917503 LVW917503 MFS917503 MPO917503 MZK917503 NJG917503 NTC917503 OCY917503 OMU917503 OWQ917503 PGM917503 PQI917503 QAE917503 QKA917503 QTW917503 RDS917503 RNO917503 RXK917503 SHG917503 SRC917503 TAY917503 TKU917503 TUQ917503 UEM917503 UOI917503 UYE917503 VIA917503 VRW917503 WBS917503 WLO917503 WVK917503 C983039 IY983039 SU983039 ACQ983039 AMM983039 AWI983039 BGE983039 BQA983039 BZW983039 CJS983039 CTO983039 DDK983039 DNG983039 DXC983039 EGY983039 EQU983039 FAQ983039 FKM983039 FUI983039 GEE983039 GOA983039 GXW983039 HHS983039 HRO983039 IBK983039 ILG983039 IVC983039 JEY983039 JOU983039 JYQ983039 KIM983039 KSI983039 LCE983039 LMA983039 LVW983039 MFS983039 MPO983039 MZK983039 NJG983039 NTC983039 OCY983039 OMU983039 OWQ983039 PGM983039 PQI983039 QAE983039 QKA983039 QTW983039 RDS983039 RNO983039 RXK983039 SHG983039 SRC983039 TAY983039 TKU983039 TUQ983039 UEM983039 UOI983039 UYE983039 VIA983039 VRW983039 WBS983039 WLO983039 WVK983039" xr:uid="{1153982D-8392-4BE0-967B-E6C334DC106B}">
      <formula1>-10</formula1>
      <formula2>10</formula2>
    </dataValidation>
    <dataValidation type="whole" allowBlank="1" showInputMessage="1" showErrorMessage="1" errorTitle="Error" error="Structural Companies must be a whole number between 1 and 12." sqref="WVK983033 IY16 SU16 ACQ16 AMM16 AWI16 BGE16 BQA16 BZW16 CJS16 CTO16 DDK16 DNG16 DXC16 EGY16 EQU16 FAQ16 FKM16 FUI16 GEE16 GOA16 GXW16 HHS16 HRO16 IBK16 ILG16 IVC16 JEY16 JOU16 JYQ16 KIM16 KSI16 LCE16 LMA16 LVW16 MFS16 MPO16 MZK16 NJG16 NTC16 OCY16 OMU16 OWQ16 PGM16 PQI16 QAE16 QKA16 QTW16 RDS16 RNO16 RXK16 SHG16 SRC16 TAY16 TKU16 TUQ16 UEM16 UOI16 UYE16 VIA16 VRW16 WBS16 WLO16 WVK16 C65529 IY65529 SU65529 ACQ65529 AMM65529 AWI65529 BGE65529 BQA65529 BZW65529 CJS65529 CTO65529 DDK65529 DNG65529 DXC65529 EGY65529 EQU65529 FAQ65529 FKM65529 FUI65529 GEE65529 GOA65529 GXW65529 HHS65529 HRO65529 IBK65529 ILG65529 IVC65529 JEY65529 JOU65529 JYQ65529 KIM65529 KSI65529 LCE65529 LMA65529 LVW65529 MFS65529 MPO65529 MZK65529 NJG65529 NTC65529 OCY65529 OMU65529 OWQ65529 PGM65529 PQI65529 QAE65529 QKA65529 QTW65529 RDS65529 RNO65529 RXK65529 SHG65529 SRC65529 TAY65529 TKU65529 TUQ65529 UEM65529 UOI65529 UYE65529 VIA65529 VRW65529 WBS65529 WLO65529 WVK65529 C131065 IY131065 SU131065 ACQ131065 AMM131065 AWI131065 BGE131065 BQA131065 BZW131065 CJS131065 CTO131065 DDK131065 DNG131065 DXC131065 EGY131065 EQU131065 FAQ131065 FKM131065 FUI131065 GEE131065 GOA131065 GXW131065 HHS131065 HRO131065 IBK131065 ILG131065 IVC131065 JEY131065 JOU131065 JYQ131065 KIM131065 KSI131065 LCE131065 LMA131065 LVW131065 MFS131065 MPO131065 MZK131065 NJG131065 NTC131065 OCY131065 OMU131065 OWQ131065 PGM131065 PQI131065 QAE131065 QKA131065 QTW131065 RDS131065 RNO131065 RXK131065 SHG131065 SRC131065 TAY131065 TKU131065 TUQ131065 UEM131065 UOI131065 UYE131065 VIA131065 VRW131065 WBS131065 WLO131065 WVK131065 C196601 IY196601 SU196601 ACQ196601 AMM196601 AWI196601 BGE196601 BQA196601 BZW196601 CJS196601 CTO196601 DDK196601 DNG196601 DXC196601 EGY196601 EQU196601 FAQ196601 FKM196601 FUI196601 GEE196601 GOA196601 GXW196601 HHS196601 HRO196601 IBK196601 ILG196601 IVC196601 JEY196601 JOU196601 JYQ196601 KIM196601 KSI196601 LCE196601 LMA196601 LVW196601 MFS196601 MPO196601 MZK196601 NJG196601 NTC196601 OCY196601 OMU196601 OWQ196601 PGM196601 PQI196601 QAE196601 QKA196601 QTW196601 RDS196601 RNO196601 RXK196601 SHG196601 SRC196601 TAY196601 TKU196601 TUQ196601 UEM196601 UOI196601 UYE196601 VIA196601 VRW196601 WBS196601 WLO196601 WVK196601 C262137 IY262137 SU262137 ACQ262137 AMM262137 AWI262137 BGE262137 BQA262137 BZW262137 CJS262137 CTO262137 DDK262137 DNG262137 DXC262137 EGY262137 EQU262137 FAQ262137 FKM262137 FUI262137 GEE262137 GOA262137 GXW262137 HHS262137 HRO262137 IBK262137 ILG262137 IVC262137 JEY262137 JOU262137 JYQ262137 KIM262137 KSI262137 LCE262137 LMA262137 LVW262137 MFS262137 MPO262137 MZK262137 NJG262137 NTC262137 OCY262137 OMU262137 OWQ262137 PGM262137 PQI262137 QAE262137 QKA262137 QTW262137 RDS262137 RNO262137 RXK262137 SHG262137 SRC262137 TAY262137 TKU262137 TUQ262137 UEM262137 UOI262137 UYE262137 VIA262137 VRW262137 WBS262137 WLO262137 WVK262137 C327673 IY327673 SU327673 ACQ327673 AMM327673 AWI327673 BGE327673 BQA327673 BZW327673 CJS327673 CTO327673 DDK327673 DNG327673 DXC327673 EGY327673 EQU327673 FAQ327673 FKM327673 FUI327673 GEE327673 GOA327673 GXW327673 HHS327673 HRO327673 IBK327673 ILG327673 IVC327673 JEY327673 JOU327673 JYQ327673 KIM327673 KSI327673 LCE327673 LMA327673 LVW327673 MFS327673 MPO327673 MZK327673 NJG327673 NTC327673 OCY327673 OMU327673 OWQ327673 PGM327673 PQI327673 QAE327673 QKA327673 QTW327673 RDS327673 RNO327673 RXK327673 SHG327673 SRC327673 TAY327673 TKU327673 TUQ327673 UEM327673 UOI327673 UYE327673 VIA327673 VRW327673 WBS327673 WLO327673 WVK327673 C393209 IY393209 SU393209 ACQ393209 AMM393209 AWI393209 BGE393209 BQA393209 BZW393209 CJS393209 CTO393209 DDK393209 DNG393209 DXC393209 EGY393209 EQU393209 FAQ393209 FKM393209 FUI393209 GEE393209 GOA393209 GXW393209 HHS393209 HRO393209 IBK393209 ILG393209 IVC393209 JEY393209 JOU393209 JYQ393209 KIM393209 KSI393209 LCE393209 LMA393209 LVW393209 MFS393209 MPO393209 MZK393209 NJG393209 NTC393209 OCY393209 OMU393209 OWQ393209 PGM393209 PQI393209 QAE393209 QKA393209 QTW393209 RDS393209 RNO393209 RXK393209 SHG393209 SRC393209 TAY393209 TKU393209 TUQ393209 UEM393209 UOI393209 UYE393209 VIA393209 VRW393209 WBS393209 WLO393209 WVK393209 C458745 IY458745 SU458745 ACQ458745 AMM458745 AWI458745 BGE458745 BQA458745 BZW458745 CJS458745 CTO458745 DDK458745 DNG458745 DXC458745 EGY458745 EQU458745 FAQ458745 FKM458745 FUI458745 GEE458745 GOA458745 GXW458745 HHS458745 HRO458745 IBK458745 ILG458745 IVC458745 JEY458745 JOU458745 JYQ458745 KIM458745 KSI458745 LCE458745 LMA458745 LVW458745 MFS458745 MPO458745 MZK458745 NJG458745 NTC458745 OCY458745 OMU458745 OWQ458745 PGM458745 PQI458745 QAE458745 QKA458745 QTW458745 RDS458745 RNO458745 RXK458745 SHG458745 SRC458745 TAY458745 TKU458745 TUQ458745 UEM458745 UOI458745 UYE458745 VIA458745 VRW458745 WBS458745 WLO458745 WVK458745 C524281 IY524281 SU524281 ACQ524281 AMM524281 AWI524281 BGE524281 BQA524281 BZW524281 CJS524281 CTO524281 DDK524281 DNG524281 DXC524281 EGY524281 EQU524281 FAQ524281 FKM524281 FUI524281 GEE524281 GOA524281 GXW524281 HHS524281 HRO524281 IBK524281 ILG524281 IVC524281 JEY524281 JOU524281 JYQ524281 KIM524281 KSI524281 LCE524281 LMA524281 LVW524281 MFS524281 MPO524281 MZK524281 NJG524281 NTC524281 OCY524281 OMU524281 OWQ524281 PGM524281 PQI524281 QAE524281 QKA524281 QTW524281 RDS524281 RNO524281 RXK524281 SHG524281 SRC524281 TAY524281 TKU524281 TUQ524281 UEM524281 UOI524281 UYE524281 VIA524281 VRW524281 WBS524281 WLO524281 WVK524281 C589817 IY589817 SU589817 ACQ589817 AMM589817 AWI589817 BGE589817 BQA589817 BZW589817 CJS589817 CTO589817 DDK589817 DNG589817 DXC589817 EGY589817 EQU589817 FAQ589817 FKM589817 FUI589817 GEE589817 GOA589817 GXW589817 HHS589817 HRO589817 IBK589817 ILG589817 IVC589817 JEY589817 JOU589817 JYQ589817 KIM589817 KSI589817 LCE589817 LMA589817 LVW589817 MFS589817 MPO589817 MZK589817 NJG589817 NTC589817 OCY589817 OMU589817 OWQ589817 PGM589817 PQI589817 QAE589817 QKA589817 QTW589817 RDS589817 RNO589817 RXK589817 SHG589817 SRC589817 TAY589817 TKU589817 TUQ589817 UEM589817 UOI589817 UYE589817 VIA589817 VRW589817 WBS589817 WLO589817 WVK589817 C655353 IY655353 SU655353 ACQ655353 AMM655353 AWI655353 BGE655353 BQA655353 BZW655353 CJS655353 CTO655353 DDK655353 DNG655353 DXC655353 EGY655353 EQU655353 FAQ655353 FKM655353 FUI655353 GEE655353 GOA655353 GXW655353 HHS655353 HRO655353 IBK655353 ILG655353 IVC655353 JEY655353 JOU655353 JYQ655353 KIM655353 KSI655353 LCE655353 LMA655353 LVW655353 MFS655353 MPO655353 MZK655353 NJG655353 NTC655353 OCY655353 OMU655353 OWQ655353 PGM655353 PQI655353 QAE655353 QKA655353 QTW655353 RDS655353 RNO655353 RXK655353 SHG655353 SRC655353 TAY655353 TKU655353 TUQ655353 UEM655353 UOI655353 UYE655353 VIA655353 VRW655353 WBS655353 WLO655353 WVK655353 C720889 IY720889 SU720889 ACQ720889 AMM720889 AWI720889 BGE720889 BQA720889 BZW720889 CJS720889 CTO720889 DDK720889 DNG720889 DXC720889 EGY720889 EQU720889 FAQ720889 FKM720889 FUI720889 GEE720889 GOA720889 GXW720889 HHS720889 HRO720889 IBK720889 ILG720889 IVC720889 JEY720889 JOU720889 JYQ720889 KIM720889 KSI720889 LCE720889 LMA720889 LVW720889 MFS720889 MPO720889 MZK720889 NJG720889 NTC720889 OCY720889 OMU720889 OWQ720889 PGM720889 PQI720889 QAE720889 QKA720889 QTW720889 RDS720889 RNO720889 RXK720889 SHG720889 SRC720889 TAY720889 TKU720889 TUQ720889 UEM720889 UOI720889 UYE720889 VIA720889 VRW720889 WBS720889 WLO720889 WVK720889 C786425 IY786425 SU786425 ACQ786425 AMM786425 AWI786425 BGE786425 BQA786425 BZW786425 CJS786425 CTO786425 DDK786425 DNG786425 DXC786425 EGY786425 EQU786425 FAQ786425 FKM786425 FUI786425 GEE786425 GOA786425 GXW786425 HHS786425 HRO786425 IBK786425 ILG786425 IVC786425 JEY786425 JOU786425 JYQ786425 KIM786425 KSI786425 LCE786425 LMA786425 LVW786425 MFS786425 MPO786425 MZK786425 NJG786425 NTC786425 OCY786425 OMU786425 OWQ786425 PGM786425 PQI786425 QAE786425 QKA786425 QTW786425 RDS786425 RNO786425 RXK786425 SHG786425 SRC786425 TAY786425 TKU786425 TUQ786425 UEM786425 UOI786425 UYE786425 VIA786425 VRW786425 WBS786425 WLO786425 WVK786425 C851961 IY851961 SU851961 ACQ851961 AMM851961 AWI851961 BGE851961 BQA851961 BZW851961 CJS851961 CTO851961 DDK851961 DNG851961 DXC851961 EGY851961 EQU851961 FAQ851961 FKM851961 FUI851961 GEE851961 GOA851961 GXW851961 HHS851961 HRO851961 IBK851961 ILG851961 IVC851961 JEY851961 JOU851961 JYQ851961 KIM851961 KSI851961 LCE851961 LMA851961 LVW851961 MFS851961 MPO851961 MZK851961 NJG851961 NTC851961 OCY851961 OMU851961 OWQ851961 PGM851961 PQI851961 QAE851961 QKA851961 QTW851961 RDS851961 RNO851961 RXK851961 SHG851961 SRC851961 TAY851961 TKU851961 TUQ851961 UEM851961 UOI851961 UYE851961 VIA851961 VRW851961 WBS851961 WLO851961 WVK851961 C917497 IY917497 SU917497 ACQ917497 AMM917497 AWI917497 BGE917497 BQA917497 BZW917497 CJS917497 CTO917497 DDK917497 DNG917497 DXC917497 EGY917497 EQU917497 FAQ917497 FKM917497 FUI917497 GEE917497 GOA917497 GXW917497 HHS917497 HRO917497 IBK917497 ILG917497 IVC917497 JEY917497 JOU917497 JYQ917497 KIM917497 KSI917497 LCE917497 LMA917497 LVW917497 MFS917497 MPO917497 MZK917497 NJG917497 NTC917497 OCY917497 OMU917497 OWQ917497 PGM917497 PQI917497 QAE917497 QKA917497 QTW917497 RDS917497 RNO917497 RXK917497 SHG917497 SRC917497 TAY917497 TKU917497 TUQ917497 UEM917497 UOI917497 UYE917497 VIA917497 VRW917497 WBS917497 WLO917497 WVK917497 C983033 IY983033 SU983033 ACQ983033 AMM983033 AWI983033 BGE983033 BQA983033 BZW983033 CJS983033 CTO983033 DDK983033 DNG983033 DXC983033 EGY983033 EQU983033 FAQ983033 FKM983033 FUI983033 GEE983033 GOA983033 GXW983033 HHS983033 HRO983033 IBK983033 ILG983033 IVC983033 JEY983033 JOU983033 JYQ983033 KIM983033 KSI983033 LCE983033 LMA983033 LVW983033 MFS983033 MPO983033 MZK983033 NJG983033 NTC983033 OCY983033 OMU983033 OWQ983033 PGM983033 PQI983033 QAE983033 QKA983033 QTW983033 RDS983033 RNO983033 RXK983033 SHG983033 SRC983033 TAY983033 TKU983033 TUQ983033 UEM983033 UOI983033 UYE983033 VIA983033 VRW983033 WBS983033 WLO983033" xr:uid="{C673B7B0-1FCC-43A9-B77C-EF3B95E76A01}">
      <formula1>1</formula1>
      <formula2>12</formula2>
    </dataValidation>
    <dataValidation type="list" allowBlank="1" showInputMessage="1" showErrorMessage="1" sqref="C90 IY90 SU90 ACQ90 AMM90 AWI90 BGE90 BQA90 BZW90 CJS90 CTO90 DDK90 DNG90 DXC90 EGY90 EQU90 FAQ90 FKM90 FUI90 GEE90 GOA90 GXW90 HHS90 HRO90 IBK90 ILG90 IVC90 JEY90 JOU90 JYQ90 KIM90 KSI90 LCE90 LMA90 LVW90 MFS90 MPO90 MZK90 NJG90 NTC90 OCY90 OMU90 OWQ90 PGM90 PQI90 QAE90 QKA90 QTW90 RDS90 RNO90 RXK90 SHG90 SRC90 TAY90 TKU90 TUQ90 UEM90 UOI90 UYE90 VIA90 VRW90 WBS90 WLO90 WVK90 C65603 IY65603 SU65603 ACQ65603 AMM65603 AWI65603 BGE65603 BQA65603 BZW65603 CJS65603 CTO65603 DDK65603 DNG65603 DXC65603 EGY65603 EQU65603 FAQ65603 FKM65603 FUI65603 GEE65603 GOA65603 GXW65603 HHS65603 HRO65603 IBK65603 ILG65603 IVC65603 JEY65603 JOU65603 JYQ65603 KIM65603 KSI65603 LCE65603 LMA65603 LVW65603 MFS65603 MPO65603 MZK65603 NJG65603 NTC65603 OCY65603 OMU65603 OWQ65603 PGM65603 PQI65603 QAE65603 QKA65603 QTW65603 RDS65603 RNO65603 RXK65603 SHG65603 SRC65603 TAY65603 TKU65603 TUQ65603 UEM65603 UOI65603 UYE65603 VIA65603 VRW65603 WBS65603 WLO65603 WVK65603 C131139 IY131139 SU131139 ACQ131139 AMM131139 AWI131139 BGE131139 BQA131139 BZW131139 CJS131139 CTO131139 DDK131139 DNG131139 DXC131139 EGY131139 EQU131139 FAQ131139 FKM131139 FUI131139 GEE131139 GOA131139 GXW131139 HHS131139 HRO131139 IBK131139 ILG131139 IVC131139 JEY131139 JOU131139 JYQ131139 KIM131139 KSI131139 LCE131139 LMA131139 LVW131139 MFS131139 MPO131139 MZK131139 NJG131139 NTC131139 OCY131139 OMU131139 OWQ131139 PGM131139 PQI131139 QAE131139 QKA131139 QTW131139 RDS131139 RNO131139 RXK131139 SHG131139 SRC131139 TAY131139 TKU131139 TUQ131139 UEM131139 UOI131139 UYE131139 VIA131139 VRW131139 WBS131139 WLO131139 WVK131139 C196675 IY196675 SU196675 ACQ196675 AMM196675 AWI196675 BGE196675 BQA196675 BZW196675 CJS196675 CTO196675 DDK196675 DNG196675 DXC196675 EGY196675 EQU196675 FAQ196675 FKM196675 FUI196675 GEE196675 GOA196675 GXW196675 HHS196675 HRO196675 IBK196675 ILG196675 IVC196675 JEY196675 JOU196675 JYQ196675 KIM196675 KSI196675 LCE196675 LMA196675 LVW196675 MFS196675 MPO196675 MZK196675 NJG196675 NTC196675 OCY196675 OMU196675 OWQ196675 PGM196675 PQI196675 QAE196675 QKA196675 QTW196675 RDS196675 RNO196675 RXK196675 SHG196675 SRC196675 TAY196675 TKU196675 TUQ196675 UEM196675 UOI196675 UYE196675 VIA196675 VRW196675 WBS196675 WLO196675 WVK196675 C262211 IY262211 SU262211 ACQ262211 AMM262211 AWI262211 BGE262211 BQA262211 BZW262211 CJS262211 CTO262211 DDK262211 DNG262211 DXC262211 EGY262211 EQU262211 FAQ262211 FKM262211 FUI262211 GEE262211 GOA262211 GXW262211 HHS262211 HRO262211 IBK262211 ILG262211 IVC262211 JEY262211 JOU262211 JYQ262211 KIM262211 KSI262211 LCE262211 LMA262211 LVW262211 MFS262211 MPO262211 MZK262211 NJG262211 NTC262211 OCY262211 OMU262211 OWQ262211 PGM262211 PQI262211 QAE262211 QKA262211 QTW262211 RDS262211 RNO262211 RXK262211 SHG262211 SRC262211 TAY262211 TKU262211 TUQ262211 UEM262211 UOI262211 UYE262211 VIA262211 VRW262211 WBS262211 WLO262211 WVK262211 C327747 IY327747 SU327747 ACQ327747 AMM327747 AWI327747 BGE327747 BQA327747 BZW327747 CJS327747 CTO327747 DDK327747 DNG327747 DXC327747 EGY327747 EQU327747 FAQ327747 FKM327747 FUI327747 GEE327747 GOA327747 GXW327747 HHS327747 HRO327747 IBK327747 ILG327747 IVC327747 JEY327747 JOU327747 JYQ327747 KIM327747 KSI327747 LCE327747 LMA327747 LVW327747 MFS327747 MPO327747 MZK327747 NJG327747 NTC327747 OCY327747 OMU327747 OWQ327747 PGM327747 PQI327747 QAE327747 QKA327747 QTW327747 RDS327747 RNO327747 RXK327747 SHG327747 SRC327747 TAY327747 TKU327747 TUQ327747 UEM327747 UOI327747 UYE327747 VIA327747 VRW327747 WBS327747 WLO327747 WVK327747 C393283 IY393283 SU393283 ACQ393283 AMM393283 AWI393283 BGE393283 BQA393283 BZW393283 CJS393283 CTO393283 DDK393283 DNG393283 DXC393283 EGY393283 EQU393283 FAQ393283 FKM393283 FUI393283 GEE393283 GOA393283 GXW393283 HHS393283 HRO393283 IBK393283 ILG393283 IVC393283 JEY393283 JOU393283 JYQ393283 KIM393283 KSI393283 LCE393283 LMA393283 LVW393283 MFS393283 MPO393283 MZK393283 NJG393283 NTC393283 OCY393283 OMU393283 OWQ393283 PGM393283 PQI393283 QAE393283 QKA393283 QTW393283 RDS393283 RNO393283 RXK393283 SHG393283 SRC393283 TAY393283 TKU393283 TUQ393283 UEM393283 UOI393283 UYE393283 VIA393283 VRW393283 WBS393283 WLO393283 WVK393283 C458819 IY458819 SU458819 ACQ458819 AMM458819 AWI458819 BGE458819 BQA458819 BZW458819 CJS458819 CTO458819 DDK458819 DNG458819 DXC458819 EGY458819 EQU458819 FAQ458819 FKM458819 FUI458819 GEE458819 GOA458819 GXW458819 HHS458819 HRO458819 IBK458819 ILG458819 IVC458819 JEY458819 JOU458819 JYQ458819 KIM458819 KSI458819 LCE458819 LMA458819 LVW458819 MFS458819 MPO458819 MZK458819 NJG458819 NTC458819 OCY458819 OMU458819 OWQ458819 PGM458819 PQI458819 QAE458819 QKA458819 QTW458819 RDS458819 RNO458819 RXK458819 SHG458819 SRC458819 TAY458819 TKU458819 TUQ458819 UEM458819 UOI458819 UYE458819 VIA458819 VRW458819 WBS458819 WLO458819 WVK458819 C524355 IY524355 SU524355 ACQ524355 AMM524355 AWI524355 BGE524355 BQA524355 BZW524355 CJS524355 CTO524355 DDK524355 DNG524355 DXC524355 EGY524355 EQU524355 FAQ524355 FKM524355 FUI524355 GEE524355 GOA524355 GXW524355 HHS524355 HRO524355 IBK524355 ILG524355 IVC524355 JEY524355 JOU524355 JYQ524355 KIM524355 KSI524355 LCE524355 LMA524355 LVW524355 MFS524355 MPO524355 MZK524355 NJG524355 NTC524355 OCY524355 OMU524355 OWQ524355 PGM524355 PQI524355 QAE524355 QKA524355 QTW524355 RDS524355 RNO524355 RXK524355 SHG524355 SRC524355 TAY524355 TKU524355 TUQ524355 UEM524355 UOI524355 UYE524355 VIA524355 VRW524355 WBS524355 WLO524355 WVK524355 C589891 IY589891 SU589891 ACQ589891 AMM589891 AWI589891 BGE589891 BQA589891 BZW589891 CJS589891 CTO589891 DDK589891 DNG589891 DXC589891 EGY589891 EQU589891 FAQ589891 FKM589891 FUI589891 GEE589891 GOA589891 GXW589891 HHS589891 HRO589891 IBK589891 ILG589891 IVC589891 JEY589891 JOU589891 JYQ589891 KIM589891 KSI589891 LCE589891 LMA589891 LVW589891 MFS589891 MPO589891 MZK589891 NJG589891 NTC589891 OCY589891 OMU589891 OWQ589891 PGM589891 PQI589891 QAE589891 QKA589891 QTW589891 RDS589891 RNO589891 RXK589891 SHG589891 SRC589891 TAY589891 TKU589891 TUQ589891 UEM589891 UOI589891 UYE589891 VIA589891 VRW589891 WBS589891 WLO589891 WVK589891 C655427 IY655427 SU655427 ACQ655427 AMM655427 AWI655427 BGE655427 BQA655427 BZW655427 CJS655427 CTO655427 DDK655427 DNG655427 DXC655427 EGY655427 EQU655427 FAQ655427 FKM655427 FUI655427 GEE655427 GOA655427 GXW655427 HHS655427 HRO655427 IBK655427 ILG655427 IVC655427 JEY655427 JOU655427 JYQ655427 KIM655427 KSI655427 LCE655427 LMA655427 LVW655427 MFS655427 MPO655427 MZK655427 NJG655427 NTC655427 OCY655427 OMU655427 OWQ655427 PGM655427 PQI655427 QAE655427 QKA655427 QTW655427 RDS655427 RNO655427 RXK655427 SHG655427 SRC655427 TAY655427 TKU655427 TUQ655427 UEM655427 UOI655427 UYE655427 VIA655427 VRW655427 WBS655427 WLO655427 WVK655427 C720963 IY720963 SU720963 ACQ720963 AMM720963 AWI720963 BGE720963 BQA720963 BZW720963 CJS720963 CTO720963 DDK720963 DNG720963 DXC720963 EGY720963 EQU720963 FAQ720963 FKM720963 FUI720963 GEE720963 GOA720963 GXW720963 HHS720963 HRO720963 IBK720963 ILG720963 IVC720963 JEY720963 JOU720963 JYQ720963 KIM720963 KSI720963 LCE720963 LMA720963 LVW720963 MFS720963 MPO720963 MZK720963 NJG720963 NTC720963 OCY720963 OMU720963 OWQ720963 PGM720963 PQI720963 QAE720963 QKA720963 QTW720963 RDS720963 RNO720963 RXK720963 SHG720963 SRC720963 TAY720963 TKU720963 TUQ720963 UEM720963 UOI720963 UYE720963 VIA720963 VRW720963 WBS720963 WLO720963 WVK720963 C786499 IY786499 SU786499 ACQ786499 AMM786499 AWI786499 BGE786499 BQA786499 BZW786499 CJS786499 CTO786499 DDK786499 DNG786499 DXC786499 EGY786499 EQU786499 FAQ786499 FKM786499 FUI786499 GEE786499 GOA786499 GXW786499 HHS786499 HRO786499 IBK786499 ILG786499 IVC786499 JEY786499 JOU786499 JYQ786499 KIM786499 KSI786499 LCE786499 LMA786499 LVW786499 MFS786499 MPO786499 MZK786499 NJG786499 NTC786499 OCY786499 OMU786499 OWQ786499 PGM786499 PQI786499 QAE786499 QKA786499 QTW786499 RDS786499 RNO786499 RXK786499 SHG786499 SRC786499 TAY786499 TKU786499 TUQ786499 UEM786499 UOI786499 UYE786499 VIA786499 VRW786499 WBS786499 WLO786499 WVK786499 C852035 IY852035 SU852035 ACQ852035 AMM852035 AWI852035 BGE852035 BQA852035 BZW852035 CJS852035 CTO852035 DDK852035 DNG852035 DXC852035 EGY852035 EQU852035 FAQ852035 FKM852035 FUI852035 GEE852035 GOA852035 GXW852035 HHS852035 HRO852035 IBK852035 ILG852035 IVC852035 JEY852035 JOU852035 JYQ852035 KIM852035 KSI852035 LCE852035 LMA852035 LVW852035 MFS852035 MPO852035 MZK852035 NJG852035 NTC852035 OCY852035 OMU852035 OWQ852035 PGM852035 PQI852035 QAE852035 QKA852035 QTW852035 RDS852035 RNO852035 RXK852035 SHG852035 SRC852035 TAY852035 TKU852035 TUQ852035 UEM852035 UOI852035 UYE852035 VIA852035 VRW852035 WBS852035 WLO852035 WVK852035 C917571 IY917571 SU917571 ACQ917571 AMM917571 AWI917571 BGE917571 BQA917571 BZW917571 CJS917571 CTO917571 DDK917571 DNG917571 DXC917571 EGY917571 EQU917571 FAQ917571 FKM917571 FUI917571 GEE917571 GOA917571 GXW917571 HHS917571 HRO917571 IBK917571 ILG917571 IVC917571 JEY917571 JOU917571 JYQ917571 KIM917571 KSI917571 LCE917571 LMA917571 LVW917571 MFS917571 MPO917571 MZK917571 NJG917571 NTC917571 OCY917571 OMU917571 OWQ917571 PGM917571 PQI917571 QAE917571 QKA917571 QTW917571 RDS917571 RNO917571 RXK917571 SHG917571 SRC917571 TAY917571 TKU917571 TUQ917571 UEM917571 UOI917571 UYE917571 VIA917571 VRW917571 WBS917571 WLO917571 WVK917571 C983107 IY983107 SU983107 ACQ983107 AMM983107 AWI983107 BGE983107 BQA983107 BZW983107 CJS983107 CTO983107 DDK983107 DNG983107 DXC983107 EGY983107 EQU983107 FAQ983107 FKM983107 FUI983107 GEE983107 GOA983107 GXW983107 HHS983107 HRO983107 IBK983107 ILG983107 IVC983107 JEY983107 JOU983107 JYQ983107 KIM983107 KSI983107 LCE983107 LMA983107 LVW983107 MFS983107 MPO983107 MZK983107 NJG983107 NTC983107 OCY983107 OMU983107 OWQ983107 PGM983107 PQI983107 QAE983107 QKA983107 QTW983107 RDS983107 RNO983107 RXK983107 SHG983107 SRC983107 TAY983107 TKU983107 TUQ983107 UEM983107 UOI983107 UYE983107 VIA983107 VRW983107 WBS983107 WLO983107 WVK983107" xr:uid="{D1D78E2E-31E3-482F-AEF1-EF0C8ADBBF1C}">
      <formula1>$J$21:$J$23</formula1>
    </dataValidation>
    <dataValidation type="whole" allowBlank="1" showInputMessage="1" showErrorMessage="1" errorTitle="Error" error="Structural Companies must be a whole number between 1 and 12." sqref="C16" xr:uid="{36E5B52C-1CD7-4ABF-9301-D0B6C28B5D32}">
      <formula1>1</formula1>
      <formula2>8</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02" r:id="rId4" name="Check Box 2">
              <controlPr locked="0" defaultSize="0" autoFill="0" autoLine="0" autoPict="0">
                <anchor moveWithCells="1">
                  <from>
                    <xdr:col>0</xdr:col>
                    <xdr:colOff>136071</xdr:colOff>
                    <xdr:row>114</xdr:row>
                    <xdr:rowOff>125186</xdr:rowOff>
                  </from>
                  <to>
                    <xdr:col>1</xdr:col>
                    <xdr:colOff>299357</xdr:colOff>
                    <xdr:row>116</xdr:row>
                    <xdr:rowOff>38100</xdr:rowOff>
                  </to>
                </anchor>
              </controlPr>
            </control>
          </mc:Choice>
        </mc:AlternateContent>
        <mc:AlternateContent xmlns:mc="http://schemas.openxmlformats.org/markup-compatibility/2006">
          <mc:Choice Requires="x14">
            <control shapeId="51203" r:id="rId5" name="Check Box 3">
              <controlPr locked="0" defaultSize="0" autoFill="0" autoLine="0" autoPict="0">
                <anchor moveWithCells="1">
                  <from>
                    <xdr:col>6</xdr:col>
                    <xdr:colOff>402771</xdr:colOff>
                    <xdr:row>114</xdr:row>
                    <xdr:rowOff>125186</xdr:rowOff>
                  </from>
                  <to>
                    <xdr:col>7</xdr:col>
                    <xdr:colOff>70757</xdr:colOff>
                    <xdr:row>116</xdr:row>
                    <xdr:rowOff>38100</xdr:rowOff>
                  </to>
                </anchor>
              </controlPr>
            </control>
          </mc:Choice>
        </mc:AlternateContent>
        <mc:AlternateContent xmlns:mc="http://schemas.openxmlformats.org/markup-compatibility/2006">
          <mc:Choice Requires="x14">
            <control shapeId="51204" r:id="rId6" name="Check Box 4">
              <controlPr locked="0" defaultSize="0" autoFill="0" autoLine="0" autoPict="0">
                <anchor moveWithCells="1">
                  <from>
                    <xdr:col>0</xdr:col>
                    <xdr:colOff>136071</xdr:colOff>
                    <xdr:row>119</xdr:row>
                    <xdr:rowOff>125186</xdr:rowOff>
                  </from>
                  <to>
                    <xdr:col>1</xdr:col>
                    <xdr:colOff>299357</xdr:colOff>
                    <xdr:row>121</xdr:row>
                    <xdr:rowOff>38100</xdr:rowOff>
                  </to>
                </anchor>
              </controlPr>
            </control>
          </mc:Choice>
        </mc:AlternateContent>
        <mc:AlternateContent xmlns:mc="http://schemas.openxmlformats.org/markup-compatibility/2006">
          <mc:Choice Requires="x14">
            <control shapeId="51205" r:id="rId7" name="Check Box 5">
              <controlPr locked="0" defaultSize="0" autoFill="0" autoLine="0" autoPict="0">
                <anchor moveWithCells="1">
                  <from>
                    <xdr:col>6</xdr:col>
                    <xdr:colOff>402771</xdr:colOff>
                    <xdr:row>119</xdr:row>
                    <xdr:rowOff>125186</xdr:rowOff>
                  </from>
                  <to>
                    <xdr:col>7</xdr:col>
                    <xdr:colOff>70757</xdr:colOff>
                    <xdr:row>121</xdr:row>
                    <xdr:rowOff>38100</xdr:rowOff>
                  </to>
                </anchor>
              </controlPr>
            </control>
          </mc:Choice>
        </mc:AlternateContent>
        <mc:AlternateContent xmlns:mc="http://schemas.openxmlformats.org/markup-compatibility/2006">
          <mc:Choice Requires="x14">
            <control shapeId="51206" r:id="rId8" name="Check Box 6">
              <controlPr locked="0" defaultSize="0" autoFill="0" autoLine="0" autoPict="0">
                <anchor moveWithCells="1">
                  <from>
                    <xdr:col>0</xdr:col>
                    <xdr:colOff>136071</xdr:colOff>
                    <xdr:row>124</xdr:row>
                    <xdr:rowOff>125186</xdr:rowOff>
                  </from>
                  <to>
                    <xdr:col>1</xdr:col>
                    <xdr:colOff>299357</xdr:colOff>
                    <xdr:row>126</xdr:row>
                    <xdr:rowOff>38100</xdr:rowOff>
                  </to>
                </anchor>
              </controlPr>
            </control>
          </mc:Choice>
        </mc:AlternateContent>
        <mc:AlternateContent xmlns:mc="http://schemas.openxmlformats.org/markup-compatibility/2006">
          <mc:Choice Requires="x14">
            <control shapeId="51207" r:id="rId9" name="Check Box 7">
              <controlPr locked="0" defaultSize="0" autoFill="0" autoLine="0" autoPict="0">
                <anchor moveWithCells="1">
                  <from>
                    <xdr:col>6</xdr:col>
                    <xdr:colOff>402771</xdr:colOff>
                    <xdr:row>124</xdr:row>
                    <xdr:rowOff>125186</xdr:rowOff>
                  </from>
                  <to>
                    <xdr:col>7</xdr:col>
                    <xdr:colOff>70757</xdr:colOff>
                    <xdr:row>126</xdr:row>
                    <xdr:rowOff>38100</xdr:rowOff>
                  </to>
                </anchor>
              </controlPr>
            </control>
          </mc:Choice>
        </mc:AlternateContent>
        <mc:AlternateContent xmlns:mc="http://schemas.openxmlformats.org/markup-compatibility/2006">
          <mc:Choice Requires="x14">
            <control shapeId="51208" r:id="rId10" name="Check Box 8">
              <controlPr locked="0" defaultSize="0" autoFill="0" autoLine="0" autoPict="0">
                <anchor moveWithCells="1">
                  <from>
                    <xdr:col>0</xdr:col>
                    <xdr:colOff>136071</xdr:colOff>
                    <xdr:row>127</xdr:row>
                    <xdr:rowOff>125186</xdr:rowOff>
                  </from>
                  <to>
                    <xdr:col>1</xdr:col>
                    <xdr:colOff>299357</xdr:colOff>
                    <xdr:row>129</xdr:row>
                    <xdr:rowOff>38100</xdr:rowOff>
                  </to>
                </anchor>
              </controlPr>
            </control>
          </mc:Choice>
        </mc:AlternateContent>
        <mc:AlternateContent xmlns:mc="http://schemas.openxmlformats.org/markup-compatibility/2006">
          <mc:Choice Requires="x14">
            <control shapeId="51209" r:id="rId11" name="Check Box 9">
              <controlPr locked="0" defaultSize="0" autoFill="0" autoLine="0" autoPict="0">
                <anchor moveWithCells="1">
                  <from>
                    <xdr:col>6</xdr:col>
                    <xdr:colOff>402771</xdr:colOff>
                    <xdr:row>127</xdr:row>
                    <xdr:rowOff>125186</xdr:rowOff>
                  </from>
                  <to>
                    <xdr:col>7</xdr:col>
                    <xdr:colOff>70757</xdr:colOff>
                    <xdr:row>129</xdr:row>
                    <xdr:rowOff>38100</xdr:rowOff>
                  </to>
                </anchor>
              </controlPr>
            </control>
          </mc:Choice>
        </mc:AlternateContent>
        <mc:AlternateContent xmlns:mc="http://schemas.openxmlformats.org/markup-compatibility/2006">
          <mc:Choice Requires="x14">
            <control shapeId="51210" r:id="rId12" name="Check Box 10">
              <controlPr locked="0" defaultSize="0" autoFill="0" autoLine="0" autoPict="0">
                <anchor moveWithCells="1">
                  <from>
                    <xdr:col>6</xdr:col>
                    <xdr:colOff>402771</xdr:colOff>
                    <xdr:row>148</xdr:row>
                    <xdr:rowOff>125186</xdr:rowOff>
                  </from>
                  <to>
                    <xdr:col>7</xdr:col>
                    <xdr:colOff>70757</xdr:colOff>
                    <xdr:row>150</xdr:row>
                    <xdr:rowOff>38100</xdr:rowOff>
                  </to>
                </anchor>
              </controlPr>
            </control>
          </mc:Choice>
        </mc:AlternateContent>
        <mc:AlternateContent xmlns:mc="http://schemas.openxmlformats.org/markup-compatibility/2006">
          <mc:Choice Requires="x14">
            <control shapeId="51211" r:id="rId13" name="Check Box 11">
              <controlPr locked="0" defaultSize="0" autoFill="0" autoLine="0" autoPict="0">
                <anchor moveWithCells="1">
                  <from>
                    <xdr:col>6</xdr:col>
                    <xdr:colOff>402771</xdr:colOff>
                    <xdr:row>151</xdr:row>
                    <xdr:rowOff>125186</xdr:rowOff>
                  </from>
                  <to>
                    <xdr:col>7</xdr:col>
                    <xdr:colOff>70757</xdr:colOff>
                    <xdr:row>153</xdr:row>
                    <xdr:rowOff>38100</xdr:rowOff>
                  </to>
                </anchor>
              </controlPr>
            </control>
          </mc:Choice>
        </mc:AlternateContent>
        <mc:AlternateContent xmlns:mc="http://schemas.openxmlformats.org/markup-compatibility/2006">
          <mc:Choice Requires="x14">
            <control shapeId="51212" r:id="rId14" name="Check Box 12">
              <controlPr locked="0" defaultSize="0" autoFill="0" autoLine="0" autoPict="0">
                <anchor moveWithCells="1">
                  <from>
                    <xdr:col>0</xdr:col>
                    <xdr:colOff>136071</xdr:colOff>
                    <xdr:row>47</xdr:row>
                    <xdr:rowOff>125186</xdr:rowOff>
                  </from>
                  <to>
                    <xdr:col>1</xdr:col>
                    <xdr:colOff>299357</xdr:colOff>
                    <xdr:row>49</xdr:row>
                    <xdr:rowOff>38100</xdr:rowOff>
                  </to>
                </anchor>
              </controlPr>
            </control>
          </mc:Choice>
        </mc:AlternateContent>
        <mc:AlternateContent xmlns:mc="http://schemas.openxmlformats.org/markup-compatibility/2006">
          <mc:Choice Requires="x14">
            <control shapeId="51213" r:id="rId15" name="Check Box 13">
              <controlPr locked="0" defaultSize="0" autoFill="0" autoLine="0" autoPict="0">
                <anchor moveWithCells="1">
                  <from>
                    <xdr:col>0</xdr:col>
                    <xdr:colOff>136071</xdr:colOff>
                    <xdr:row>50</xdr:row>
                    <xdr:rowOff>125186</xdr:rowOff>
                  </from>
                  <to>
                    <xdr:col>1</xdr:col>
                    <xdr:colOff>299357</xdr:colOff>
                    <xdr:row>52</xdr:row>
                    <xdr:rowOff>38100</xdr:rowOff>
                  </to>
                </anchor>
              </controlPr>
            </control>
          </mc:Choice>
        </mc:AlternateContent>
        <mc:AlternateContent xmlns:mc="http://schemas.openxmlformats.org/markup-compatibility/2006">
          <mc:Choice Requires="x14">
            <control shapeId="51214" r:id="rId16" name="Check Box 14">
              <controlPr locked="0" defaultSize="0" autoFill="0" autoLine="0" autoPict="0">
                <anchor moveWithCells="1">
                  <from>
                    <xdr:col>0</xdr:col>
                    <xdr:colOff>136071</xdr:colOff>
                    <xdr:row>61</xdr:row>
                    <xdr:rowOff>125186</xdr:rowOff>
                  </from>
                  <to>
                    <xdr:col>1</xdr:col>
                    <xdr:colOff>299357</xdr:colOff>
                    <xdr:row>63</xdr:row>
                    <xdr:rowOff>38100</xdr:rowOff>
                  </to>
                </anchor>
              </controlPr>
            </control>
          </mc:Choice>
        </mc:AlternateContent>
        <mc:AlternateContent xmlns:mc="http://schemas.openxmlformats.org/markup-compatibility/2006">
          <mc:Choice Requires="x14">
            <control shapeId="51215" r:id="rId17" name="Check Box 15">
              <controlPr locked="0" defaultSize="0" autoFill="0" autoLine="0" autoPict="0">
                <anchor moveWithCells="1">
                  <from>
                    <xdr:col>0</xdr:col>
                    <xdr:colOff>136071</xdr:colOff>
                    <xdr:row>64</xdr:row>
                    <xdr:rowOff>125186</xdr:rowOff>
                  </from>
                  <to>
                    <xdr:col>1</xdr:col>
                    <xdr:colOff>299357</xdr:colOff>
                    <xdr:row>66</xdr:row>
                    <xdr:rowOff>38100</xdr:rowOff>
                  </to>
                </anchor>
              </controlPr>
            </control>
          </mc:Choice>
        </mc:AlternateContent>
        <mc:AlternateContent xmlns:mc="http://schemas.openxmlformats.org/markup-compatibility/2006">
          <mc:Choice Requires="x14">
            <control shapeId="51216" r:id="rId18" name="Check Box 16">
              <controlPr locked="0" defaultSize="0" autoFill="0" autoLine="0" autoPict="0">
                <anchor moveWithCells="1">
                  <from>
                    <xdr:col>0</xdr:col>
                    <xdr:colOff>136071</xdr:colOff>
                    <xdr:row>44</xdr:row>
                    <xdr:rowOff>125186</xdr:rowOff>
                  </from>
                  <to>
                    <xdr:col>1</xdr:col>
                    <xdr:colOff>299357</xdr:colOff>
                    <xdr:row>46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38975F8-0F9E-4C1E-A7F7-200E1E0996CE}">
          <x14:formula1>
            <xm:f>$J$18:$J$19</xm:f>
          </x14:formula1>
          <xm:sqref>C175 IY175 SU175 ACQ175 AMM175 AWI175 BGE175 BQA175 BZW175 CJS175 CTO175 DDK175 DNG175 DXC175 EGY175 EQU175 FAQ175 FKM175 FUI175 GEE175 GOA175 GXW175 HHS175 HRO175 IBK175 ILG175 IVC175 JEY175 JOU175 JYQ175 KIM175 KSI175 LCE175 LMA175 LVW175 MFS175 MPO175 MZK175 NJG175 NTC175 OCY175 OMU175 OWQ175 PGM175 PQI175 QAE175 QKA175 QTW175 RDS175 RNO175 RXK175 SHG175 SRC175 TAY175 TKU175 TUQ175 UEM175 UOI175 UYE175 VIA175 VRW175 WBS175 WLO175 WVK175 C65688 IY65688 SU65688 ACQ65688 AMM65688 AWI65688 BGE65688 BQA65688 BZW65688 CJS65688 CTO65688 DDK65688 DNG65688 DXC65688 EGY65688 EQU65688 FAQ65688 FKM65688 FUI65688 GEE65688 GOA65688 GXW65688 HHS65688 HRO65688 IBK65688 ILG65688 IVC65688 JEY65688 JOU65688 JYQ65688 KIM65688 KSI65688 LCE65688 LMA65688 LVW65688 MFS65688 MPO65688 MZK65688 NJG65688 NTC65688 OCY65688 OMU65688 OWQ65688 PGM65688 PQI65688 QAE65688 QKA65688 QTW65688 RDS65688 RNO65688 RXK65688 SHG65688 SRC65688 TAY65688 TKU65688 TUQ65688 UEM65688 UOI65688 UYE65688 VIA65688 VRW65688 WBS65688 WLO65688 WVK65688 C131224 IY131224 SU131224 ACQ131224 AMM131224 AWI131224 BGE131224 BQA131224 BZW131224 CJS131224 CTO131224 DDK131224 DNG131224 DXC131224 EGY131224 EQU131224 FAQ131224 FKM131224 FUI131224 GEE131224 GOA131224 GXW131224 HHS131224 HRO131224 IBK131224 ILG131224 IVC131224 JEY131224 JOU131224 JYQ131224 KIM131224 KSI131224 LCE131224 LMA131224 LVW131224 MFS131224 MPO131224 MZK131224 NJG131224 NTC131224 OCY131224 OMU131224 OWQ131224 PGM131224 PQI131224 QAE131224 QKA131224 QTW131224 RDS131224 RNO131224 RXK131224 SHG131224 SRC131224 TAY131224 TKU131224 TUQ131224 UEM131224 UOI131224 UYE131224 VIA131224 VRW131224 WBS131224 WLO131224 WVK131224 C196760 IY196760 SU196760 ACQ196760 AMM196760 AWI196760 BGE196760 BQA196760 BZW196760 CJS196760 CTO196760 DDK196760 DNG196760 DXC196760 EGY196760 EQU196760 FAQ196760 FKM196760 FUI196760 GEE196760 GOA196760 GXW196760 HHS196760 HRO196760 IBK196760 ILG196760 IVC196760 JEY196760 JOU196760 JYQ196760 KIM196760 KSI196760 LCE196760 LMA196760 LVW196760 MFS196760 MPO196760 MZK196760 NJG196760 NTC196760 OCY196760 OMU196760 OWQ196760 PGM196760 PQI196760 QAE196760 QKA196760 QTW196760 RDS196760 RNO196760 RXK196760 SHG196760 SRC196760 TAY196760 TKU196760 TUQ196760 UEM196760 UOI196760 UYE196760 VIA196760 VRW196760 WBS196760 WLO196760 WVK196760 C262296 IY262296 SU262296 ACQ262296 AMM262296 AWI262296 BGE262296 BQA262296 BZW262296 CJS262296 CTO262296 DDK262296 DNG262296 DXC262296 EGY262296 EQU262296 FAQ262296 FKM262296 FUI262296 GEE262296 GOA262296 GXW262296 HHS262296 HRO262296 IBK262296 ILG262296 IVC262296 JEY262296 JOU262296 JYQ262296 KIM262296 KSI262296 LCE262296 LMA262296 LVW262296 MFS262296 MPO262296 MZK262296 NJG262296 NTC262296 OCY262296 OMU262296 OWQ262296 PGM262296 PQI262296 QAE262296 QKA262296 QTW262296 RDS262296 RNO262296 RXK262296 SHG262296 SRC262296 TAY262296 TKU262296 TUQ262296 UEM262296 UOI262296 UYE262296 VIA262296 VRW262296 WBS262296 WLO262296 WVK262296 C327832 IY327832 SU327832 ACQ327832 AMM327832 AWI327832 BGE327832 BQA327832 BZW327832 CJS327832 CTO327832 DDK327832 DNG327832 DXC327832 EGY327832 EQU327832 FAQ327832 FKM327832 FUI327832 GEE327832 GOA327832 GXW327832 HHS327832 HRO327832 IBK327832 ILG327832 IVC327832 JEY327832 JOU327832 JYQ327832 KIM327832 KSI327832 LCE327832 LMA327832 LVW327832 MFS327832 MPO327832 MZK327832 NJG327832 NTC327832 OCY327832 OMU327832 OWQ327832 PGM327832 PQI327832 QAE327832 QKA327832 QTW327832 RDS327832 RNO327832 RXK327832 SHG327832 SRC327832 TAY327832 TKU327832 TUQ327832 UEM327832 UOI327832 UYE327832 VIA327832 VRW327832 WBS327832 WLO327832 WVK327832 C393368 IY393368 SU393368 ACQ393368 AMM393368 AWI393368 BGE393368 BQA393368 BZW393368 CJS393368 CTO393368 DDK393368 DNG393368 DXC393368 EGY393368 EQU393368 FAQ393368 FKM393368 FUI393368 GEE393368 GOA393368 GXW393368 HHS393368 HRO393368 IBK393368 ILG393368 IVC393368 JEY393368 JOU393368 JYQ393368 KIM393368 KSI393368 LCE393368 LMA393368 LVW393368 MFS393368 MPO393368 MZK393368 NJG393368 NTC393368 OCY393368 OMU393368 OWQ393368 PGM393368 PQI393368 QAE393368 QKA393368 QTW393368 RDS393368 RNO393368 RXK393368 SHG393368 SRC393368 TAY393368 TKU393368 TUQ393368 UEM393368 UOI393368 UYE393368 VIA393368 VRW393368 WBS393368 WLO393368 WVK393368 C458904 IY458904 SU458904 ACQ458904 AMM458904 AWI458904 BGE458904 BQA458904 BZW458904 CJS458904 CTO458904 DDK458904 DNG458904 DXC458904 EGY458904 EQU458904 FAQ458904 FKM458904 FUI458904 GEE458904 GOA458904 GXW458904 HHS458904 HRO458904 IBK458904 ILG458904 IVC458904 JEY458904 JOU458904 JYQ458904 KIM458904 KSI458904 LCE458904 LMA458904 LVW458904 MFS458904 MPO458904 MZK458904 NJG458904 NTC458904 OCY458904 OMU458904 OWQ458904 PGM458904 PQI458904 QAE458904 QKA458904 QTW458904 RDS458904 RNO458904 RXK458904 SHG458904 SRC458904 TAY458904 TKU458904 TUQ458904 UEM458904 UOI458904 UYE458904 VIA458904 VRW458904 WBS458904 WLO458904 WVK458904 C524440 IY524440 SU524440 ACQ524440 AMM524440 AWI524440 BGE524440 BQA524440 BZW524440 CJS524440 CTO524440 DDK524440 DNG524440 DXC524440 EGY524440 EQU524440 FAQ524440 FKM524440 FUI524440 GEE524440 GOA524440 GXW524440 HHS524440 HRO524440 IBK524440 ILG524440 IVC524440 JEY524440 JOU524440 JYQ524440 KIM524440 KSI524440 LCE524440 LMA524440 LVW524440 MFS524440 MPO524440 MZK524440 NJG524440 NTC524440 OCY524440 OMU524440 OWQ524440 PGM524440 PQI524440 QAE524440 QKA524440 QTW524440 RDS524440 RNO524440 RXK524440 SHG524440 SRC524440 TAY524440 TKU524440 TUQ524440 UEM524440 UOI524440 UYE524440 VIA524440 VRW524440 WBS524440 WLO524440 WVK524440 C589976 IY589976 SU589976 ACQ589976 AMM589976 AWI589976 BGE589976 BQA589976 BZW589976 CJS589976 CTO589976 DDK589976 DNG589976 DXC589976 EGY589976 EQU589976 FAQ589976 FKM589976 FUI589976 GEE589976 GOA589976 GXW589976 HHS589976 HRO589976 IBK589976 ILG589976 IVC589976 JEY589976 JOU589976 JYQ589976 KIM589976 KSI589976 LCE589976 LMA589976 LVW589976 MFS589976 MPO589976 MZK589976 NJG589976 NTC589976 OCY589976 OMU589976 OWQ589976 PGM589976 PQI589976 QAE589976 QKA589976 QTW589976 RDS589976 RNO589976 RXK589976 SHG589976 SRC589976 TAY589976 TKU589976 TUQ589976 UEM589976 UOI589976 UYE589976 VIA589976 VRW589976 WBS589976 WLO589976 WVK589976 C655512 IY655512 SU655512 ACQ655512 AMM655512 AWI655512 BGE655512 BQA655512 BZW655512 CJS655512 CTO655512 DDK655512 DNG655512 DXC655512 EGY655512 EQU655512 FAQ655512 FKM655512 FUI655512 GEE655512 GOA655512 GXW655512 HHS655512 HRO655512 IBK655512 ILG655512 IVC655512 JEY655512 JOU655512 JYQ655512 KIM655512 KSI655512 LCE655512 LMA655512 LVW655512 MFS655512 MPO655512 MZK655512 NJG655512 NTC655512 OCY655512 OMU655512 OWQ655512 PGM655512 PQI655512 QAE655512 QKA655512 QTW655512 RDS655512 RNO655512 RXK655512 SHG655512 SRC655512 TAY655512 TKU655512 TUQ655512 UEM655512 UOI655512 UYE655512 VIA655512 VRW655512 WBS655512 WLO655512 WVK655512 C721048 IY721048 SU721048 ACQ721048 AMM721048 AWI721048 BGE721048 BQA721048 BZW721048 CJS721048 CTO721048 DDK721048 DNG721048 DXC721048 EGY721048 EQU721048 FAQ721048 FKM721048 FUI721048 GEE721048 GOA721048 GXW721048 HHS721048 HRO721048 IBK721048 ILG721048 IVC721048 JEY721048 JOU721048 JYQ721048 KIM721048 KSI721048 LCE721048 LMA721048 LVW721048 MFS721048 MPO721048 MZK721048 NJG721048 NTC721048 OCY721048 OMU721048 OWQ721048 PGM721048 PQI721048 QAE721048 QKA721048 QTW721048 RDS721048 RNO721048 RXK721048 SHG721048 SRC721048 TAY721048 TKU721048 TUQ721048 UEM721048 UOI721048 UYE721048 VIA721048 VRW721048 WBS721048 WLO721048 WVK721048 C786584 IY786584 SU786584 ACQ786584 AMM786584 AWI786584 BGE786584 BQA786584 BZW786584 CJS786584 CTO786584 DDK786584 DNG786584 DXC786584 EGY786584 EQU786584 FAQ786584 FKM786584 FUI786584 GEE786584 GOA786584 GXW786584 HHS786584 HRO786584 IBK786584 ILG786584 IVC786584 JEY786584 JOU786584 JYQ786584 KIM786584 KSI786584 LCE786584 LMA786584 LVW786584 MFS786584 MPO786584 MZK786584 NJG786584 NTC786584 OCY786584 OMU786584 OWQ786584 PGM786584 PQI786584 QAE786584 QKA786584 QTW786584 RDS786584 RNO786584 RXK786584 SHG786584 SRC786584 TAY786584 TKU786584 TUQ786584 UEM786584 UOI786584 UYE786584 VIA786584 VRW786584 WBS786584 WLO786584 WVK786584 C852120 IY852120 SU852120 ACQ852120 AMM852120 AWI852120 BGE852120 BQA852120 BZW852120 CJS852120 CTO852120 DDK852120 DNG852120 DXC852120 EGY852120 EQU852120 FAQ852120 FKM852120 FUI852120 GEE852120 GOA852120 GXW852120 HHS852120 HRO852120 IBK852120 ILG852120 IVC852120 JEY852120 JOU852120 JYQ852120 KIM852120 KSI852120 LCE852120 LMA852120 LVW852120 MFS852120 MPO852120 MZK852120 NJG852120 NTC852120 OCY852120 OMU852120 OWQ852120 PGM852120 PQI852120 QAE852120 QKA852120 QTW852120 RDS852120 RNO852120 RXK852120 SHG852120 SRC852120 TAY852120 TKU852120 TUQ852120 UEM852120 UOI852120 UYE852120 VIA852120 VRW852120 WBS852120 WLO852120 WVK852120 C917656 IY917656 SU917656 ACQ917656 AMM917656 AWI917656 BGE917656 BQA917656 BZW917656 CJS917656 CTO917656 DDK917656 DNG917656 DXC917656 EGY917656 EQU917656 FAQ917656 FKM917656 FUI917656 GEE917656 GOA917656 GXW917656 HHS917656 HRO917656 IBK917656 ILG917656 IVC917656 JEY917656 JOU917656 JYQ917656 KIM917656 KSI917656 LCE917656 LMA917656 LVW917656 MFS917656 MPO917656 MZK917656 NJG917656 NTC917656 OCY917656 OMU917656 OWQ917656 PGM917656 PQI917656 QAE917656 QKA917656 QTW917656 RDS917656 RNO917656 RXK917656 SHG917656 SRC917656 TAY917656 TKU917656 TUQ917656 UEM917656 UOI917656 UYE917656 VIA917656 VRW917656 WBS917656 WLO917656 WVK917656 C983192 IY983192 SU983192 ACQ983192 AMM983192 AWI983192 BGE983192 BQA983192 BZW983192 CJS983192 CTO983192 DDK983192 DNG983192 DXC983192 EGY983192 EQU983192 FAQ983192 FKM983192 FUI983192 GEE983192 GOA983192 GXW983192 HHS983192 HRO983192 IBK983192 ILG983192 IVC983192 JEY983192 JOU983192 JYQ983192 KIM983192 KSI983192 LCE983192 LMA983192 LVW983192 MFS983192 MPO983192 MZK983192 NJG983192 NTC983192 OCY983192 OMU983192 OWQ983192 PGM983192 PQI983192 QAE983192 QKA983192 QTW983192 RDS983192 RNO983192 RXK983192 SHG983192 SRC983192 TAY983192 TKU983192 TUQ983192 UEM983192 UOI983192 UYE983192 VIA983192 VRW983192 WBS983192 WLO983192 WVK983192 C118 IY118 SU118 ACQ118 AMM118 AWI118 BGE118 BQA118 BZW118 CJS118 CTO118 DDK118 DNG118 DXC118 EGY118 EQU118 FAQ118 FKM118 FUI118 GEE118 GOA118 GXW118 HHS118 HRO118 IBK118 ILG118 IVC118 JEY118 JOU118 JYQ118 KIM118 KSI118 LCE118 LMA118 LVW118 MFS118 MPO118 MZK118 NJG118 NTC118 OCY118 OMU118 OWQ118 PGM118 PQI118 QAE118 QKA118 QTW118 RDS118 RNO118 RXK118 SHG118 SRC118 TAY118 TKU118 TUQ118 UEM118 UOI118 UYE118 VIA118 VRW118 WBS118 WLO118 WVK118 C65631 IY65631 SU65631 ACQ65631 AMM65631 AWI65631 BGE65631 BQA65631 BZW65631 CJS65631 CTO65631 DDK65631 DNG65631 DXC65631 EGY65631 EQU65631 FAQ65631 FKM65631 FUI65631 GEE65631 GOA65631 GXW65631 HHS65631 HRO65631 IBK65631 ILG65631 IVC65631 JEY65631 JOU65631 JYQ65631 KIM65631 KSI65631 LCE65631 LMA65631 LVW65631 MFS65631 MPO65631 MZK65631 NJG65631 NTC65631 OCY65631 OMU65631 OWQ65631 PGM65631 PQI65631 QAE65631 QKA65631 QTW65631 RDS65631 RNO65631 RXK65631 SHG65631 SRC65631 TAY65631 TKU65631 TUQ65631 UEM65631 UOI65631 UYE65631 VIA65631 VRW65631 WBS65631 WLO65631 WVK65631 C131167 IY131167 SU131167 ACQ131167 AMM131167 AWI131167 BGE131167 BQA131167 BZW131167 CJS131167 CTO131167 DDK131167 DNG131167 DXC131167 EGY131167 EQU131167 FAQ131167 FKM131167 FUI131167 GEE131167 GOA131167 GXW131167 HHS131167 HRO131167 IBK131167 ILG131167 IVC131167 JEY131167 JOU131167 JYQ131167 KIM131167 KSI131167 LCE131167 LMA131167 LVW131167 MFS131167 MPO131167 MZK131167 NJG131167 NTC131167 OCY131167 OMU131167 OWQ131167 PGM131167 PQI131167 QAE131167 QKA131167 QTW131167 RDS131167 RNO131167 RXK131167 SHG131167 SRC131167 TAY131167 TKU131167 TUQ131167 UEM131167 UOI131167 UYE131167 VIA131167 VRW131167 WBS131167 WLO131167 WVK131167 C196703 IY196703 SU196703 ACQ196703 AMM196703 AWI196703 BGE196703 BQA196703 BZW196703 CJS196703 CTO196703 DDK196703 DNG196703 DXC196703 EGY196703 EQU196703 FAQ196703 FKM196703 FUI196703 GEE196703 GOA196703 GXW196703 HHS196703 HRO196703 IBK196703 ILG196703 IVC196703 JEY196703 JOU196703 JYQ196703 KIM196703 KSI196703 LCE196703 LMA196703 LVW196703 MFS196703 MPO196703 MZK196703 NJG196703 NTC196703 OCY196703 OMU196703 OWQ196703 PGM196703 PQI196703 QAE196703 QKA196703 QTW196703 RDS196703 RNO196703 RXK196703 SHG196703 SRC196703 TAY196703 TKU196703 TUQ196703 UEM196703 UOI196703 UYE196703 VIA196703 VRW196703 WBS196703 WLO196703 WVK196703 C262239 IY262239 SU262239 ACQ262239 AMM262239 AWI262239 BGE262239 BQA262239 BZW262239 CJS262239 CTO262239 DDK262239 DNG262239 DXC262239 EGY262239 EQU262239 FAQ262239 FKM262239 FUI262239 GEE262239 GOA262239 GXW262239 HHS262239 HRO262239 IBK262239 ILG262239 IVC262239 JEY262239 JOU262239 JYQ262239 KIM262239 KSI262239 LCE262239 LMA262239 LVW262239 MFS262239 MPO262239 MZK262239 NJG262239 NTC262239 OCY262239 OMU262239 OWQ262239 PGM262239 PQI262239 QAE262239 QKA262239 QTW262239 RDS262239 RNO262239 RXK262239 SHG262239 SRC262239 TAY262239 TKU262239 TUQ262239 UEM262239 UOI262239 UYE262239 VIA262239 VRW262239 WBS262239 WLO262239 WVK262239 C327775 IY327775 SU327775 ACQ327775 AMM327775 AWI327775 BGE327775 BQA327775 BZW327775 CJS327775 CTO327775 DDK327775 DNG327775 DXC327775 EGY327775 EQU327775 FAQ327775 FKM327775 FUI327775 GEE327775 GOA327775 GXW327775 HHS327775 HRO327775 IBK327775 ILG327775 IVC327775 JEY327775 JOU327775 JYQ327775 KIM327775 KSI327775 LCE327775 LMA327775 LVW327775 MFS327775 MPO327775 MZK327775 NJG327775 NTC327775 OCY327775 OMU327775 OWQ327775 PGM327775 PQI327775 QAE327775 QKA327775 QTW327775 RDS327775 RNO327775 RXK327775 SHG327775 SRC327775 TAY327775 TKU327775 TUQ327775 UEM327775 UOI327775 UYE327775 VIA327775 VRW327775 WBS327775 WLO327775 WVK327775 C393311 IY393311 SU393311 ACQ393311 AMM393311 AWI393311 BGE393311 BQA393311 BZW393311 CJS393311 CTO393311 DDK393311 DNG393311 DXC393311 EGY393311 EQU393311 FAQ393311 FKM393311 FUI393311 GEE393311 GOA393311 GXW393311 HHS393311 HRO393311 IBK393311 ILG393311 IVC393311 JEY393311 JOU393311 JYQ393311 KIM393311 KSI393311 LCE393311 LMA393311 LVW393311 MFS393311 MPO393311 MZK393311 NJG393311 NTC393311 OCY393311 OMU393311 OWQ393311 PGM393311 PQI393311 QAE393311 QKA393311 QTW393311 RDS393311 RNO393311 RXK393311 SHG393311 SRC393311 TAY393311 TKU393311 TUQ393311 UEM393311 UOI393311 UYE393311 VIA393311 VRW393311 WBS393311 WLO393311 WVK393311 C458847 IY458847 SU458847 ACQ458847 AMM458847 AWI458847 BGE458847 BQA458847 BZW458847 CJS458847 CTO458847 DDK458847 DNG458847 DXC458847 EGY458847 EQU458847 FAQ458847 FKM458847 FUI458847 GEE458847 GOA458847 GXW458847 HHS458847 HRO458847 IBK458847 ILG458847 IVC458847 JEY458847 JOU458847 JYQ458847 KIM458847 KSI458847 LCE458847 LMA458847 LVW458847 MFS458847 MPO458847 MZK458847 NJG458847 NTC458847 OCY458847 OMU458847 OWQ458847 PGM458847 PQI458847 QAE458847 QKA458847 QTW458847 RDS458847 RNO458847 RXK458847 SHG458847 SRC458847 TAY458847 TKU458847 TUQ458847 UEM458847 UOI458847 UYE458847 VIA458847 VRW458847 WBS458847 WLO458847 WVK458847 C524383 IY524383 SU524383 ACQ524383 AMM524383 AWI524383 BGE524383 BQA524383 BZW524383 CJS524383 CTO524383 DDK524383 DNG524383 DXC524383 EGY524383 EQU524383 FAQ524383 FKM524383 FUI524383 GEE524383 GOA524383 GXW524383 HHS524383 HRO524383 IBK524383 ILG524383 IVC524383 JEY524383 JOU524383 JYQ524383 KIM524383 KSI524383 LCE524383 LMA524383 LVW524383 MFS524383 MPO524383 MZK524383 NJG524383 NTC524383 OCY524383 OMU524383 OWQ524383 PGM524383 PQI524383 QAE524383 QKA524383 QTW524383 RDS524383 RNO524383 RXK524383 SHG524383 SRC524383 TAY524383 TKU524383 TUQ524383 UEM524383 UOI524383 UYE524383 VIA524383 VRW524383 WBS524383 WLO524383 WVK524383 C589919 IY589919 SU589919 ACQ589919 AMM589919 AWI589919 BGE589919 BQA589919 BZW589919 CJS589919 CTO589919 DDK589919 DNG589919 DXC589919 EGY589919 EQU589919 FAQ589919 FKM589919 FUI589919 GEE589919 GOA589919 GXW589919 HHS589919 HRO589919 IBK589919 ILG589919 IVC589919 JEY589919 JOU589919 JYQ589919 KIM589919 KSI589919 LCE589919 LMA589919 LVW589919 MFS589919 MPO589919 MZK589919 NJG589919 NTC589919 OCY589919 OMU589919 OWQ589919 PGM589919 PQI589919 QAE589919 QKA589919 QTW589919 RDS589919 RNO589919 RXK589919 SHG589919 SRC589919 TAY589919 TKU589919 TUQ589919 UEM589919 UOI589919 UYE589919 VIA589919 VRW589919 WBS589919 WLO589919 WVK589919 C655455 IY655455 SU655455 ACQ655455 AMM655455 AWI655455 BGE655455 BQA655455 BZW655455 CJS655455 CTO655455 DDK655455 DNG655455 DXC655455 EGY655455 EQU655455 FAQ655455 FKM655455 FUI655455 GEE655455 GOA655455 GXW655455 HHS655455 HRO655455 IBK655455 ILG655455 IVC655455 JEY655455 JOU655455 JYQ655455 KIM655455 KSI655455 LCE655455 LMA655455 LVW655455 MFS655455 MPO655455 MZK655455 NJG655455 NTC655455 OCY655455 OMU655455 OWQ655455 PGM655455 PQI655455 QAE655455 QKA655455 QTW655455 RDS655455 RNO655455 RXK655455 SHG655455 SRC655455 TAY655455 TKU655455 TUQ655455 UEM655455 UOI655455 UYE655455 VIA655455 VRW655455 WBS655455 WLO655455 WVK655455 C720991 IY720991 SU720991 ACQ720991 AMM720991 AWI720991 BGE720991 BQA720991 BZW720991 CJS720991 CTO720991 DDK720991 DNG720991 DXC720991 EGY720991 EQU720991 FAQ720991 FKM720991 FUI720991 GEE720991 GOA720991 GXW720991 HHS720991 HRO720991 IBK720991 ILG720991 IVC720991 JEY720991 JOU720991 JYQ720991 KIM720991 KSI720991 LCE720991 LMA720991 LVW720991 MFS720991 MPO720991 MZK720991 NJG720991 NTC720991 OCY720991 OMU720991 OWQ720991 PGM720991 PQI720991 QAE720991 QKA720991 QTW720991 RDS720991 RNO720991 RXK720991 SHG720991 SRC720991 TAY720991 TKU720991 TUQ720991 UEM720991 UOI720991 UYE720991 VIA720991 VRW720991 WBS720991 WLO720991 WVK720991 C786527 IY786527 SU786527 ACQ786527 AMM786527 AWI786527 BGE786527 BQA786527 BZW786527 CJS786527 CTO786527 DDK786527 DNG786527 DXC786527 EGY786527 EQU786527 FAQ786527 FKM786527 FUI786527 GEE786527 GOA786527 GXW786527 HHS786527 HRO786527 IBK786527 ILG786527 IVC786527 JEY786527 JOU786527 JYQ786527 KIM786527 KSI786527 LCE786527 LMA786527 LVW786527 MFS786527 MPO786527 MZK786527 NJG786527 NTC786527 OCY786527 OMU786527 OWQ786527 PGM786527 PQI786527 QAE786527 QKA786527 QTW786527 RDS786527 RNO786527 RXK786527 SHG786527 SRC786527 TAY786527 TKU786527 TUQ786527 UEM786527 UOI786527 UYE786527 VIA786527 VRW786527 WBS786527 WLO786527 WVK786527 C852063 IY852063 SU852063 ACQ852063 AMM852063 AWI852063 BGE852063 BQA852063 BZW852063 CJS852063 CTO852063 DDK852063 DNG852063 DXC852063 EGY852063 EQU852063 FAQ852063 FKM852063 FUI852063 GEE852063 GOA852063 GXW852063 HHS852063 HRO852063 IBK852063 ILG852063 IVC852063 JEY852063 JOU852063 JYQ852063 KIM852063 KSI852063 LCE852063 LMA852063 LVW852063 MFS852063 MPO852063 MZK852063 NJG852063 NTC852063 OCY852063 OMU852063 OWQ852063 PGM852063 PQI852063 QAE852063 QKA852063 QTW852063 RDS852063 RNO852063 RXK852063 SHG852063 SRC852063 TAY852063 TKU852063 TUQ852063 UEM852063 UOI852063 UYE852063 VIA852063 VRW852063 WBS852063 WLO852063 WVK852063 C917599 IY917599 SU917599 ACQ917599 AMM917599 AWI917599 BGE917599 BQA917599 BZW917599 CJS917599 CTO917599 DDK917599 DNG917599 DXC917599 EGY917599 EQU917599 FAQ917599 FKM917599 FUI917599 GEE917599 GOA917599 GXW917599 HHS917599 HRO917599 IBK917599 ILG917599 IVC917599 JEY917599 JOU917599 JYQ917599 KIM917599 KSI917599 LCE917599 LMA917599 LVW917599 MFS917599 MPO917599 MZK917599 NJG917599 NTC917599 OCY917599 OMU917599 OWQ917599 PGM917599 PQI917599 QAE917599 QKA917599 QTW917599 RDS917599 RNO917599 RXK917599 SHG917599 SRC917599 TAY917599 TKU917599 TUQ917599 UEM917599 UOI917599 UYE917599 VIA917599 VRW917599 WBS917599 WLO917599 WVK917599 C983135 IY983135 SU983135 ACQ983135 AMM983135 AWI983135 BGE983135 BQA983135 BZW983135 CJS983135 CTO983135 DDK983135 DNG983135 DXC983135 EGY983135 EQU983135 FAQ983135 FKM983135 FUI983135 GEE983135 GOA983135 GXW983135 HHS983135 HRO983135 IBK983135 ILG983135 IVC983135 JEY983135 JOU983135 JYQ983135 KIM983135 KSI983135 LCE983135 LMA983135 LVW983135 MFS983135 MPO983135 MZK983135 NJG983135 NTC983135 OCY983135 OMU983135 OWQ983135 PGM983135 PQI983135 QAE983135 QKA983135 QTW983135 RDS983135 RNO983135 RXK983135 SHG983135 SRC983135 TAY983135 TKU983135 TUQ983135 UEM983135 UOI983135 UYE983135 VIA983135 VRW983135 WBS983135 WLO983135 WVK983135 C81 IY81 SU81 ACQ81 AMM81 AWI81 BGE81 BQA81 BZW81 CJS81 CTO81 DDK81 DNG81 DXC81 EGY81 EQU81 FAQ81 FKM81 FUI81 GEE81 GOA81 GXW81 HHS81 HRO81 IBK81 ILG81 IVC81 JEY81 JOU81 JYQ81 KIM81 KSI81 LCE81 LMA81 LVW81 MFS81 MPO81 MZK81 NJG81 NTC81 OCY81 OMU81 OWQ81 PGM81 PQI81 QAE81 QKA81 QTW81 RDS81 RNO81 RXK81 SHG81 SRC81 TAY81 TKU81 TUQ81 UEM81 UOI81 UYE81 VIA81 VRW81 WBS81 WLO81 WVK81 C65594 IY65594 SU65594 ACQ65594 AMM65594 AWI65594 BGE65594 BQA65594 BZW65594 CJS65594 CTO65594 DDK65594 DNG65594 DXC65594 EGY65594 EQU65594 FAQ65594 FKM65594 FUI65594 GEE65594 GOA65594 GXW65594 HHS65594 HRO65594 IBK65594 ILG65594 IVC65594 JEY65594 JOU65594 JYQ65594 KIM65594 KSI65594 LCE65594 LMA65594 LVW65594 MFS65594 MPO65594 MZK65594 NJG65594 NTC65594 OCY65594 OMU65594 OWQ65594 PGM65594 PQI65594 QAE65594 QKA65594 QTW65594 RDS65594 RNO65594 RXK65594 SHG65594 SRC65594 TAY65594 TKU65594 TUQ65594 UEM65594 UOI65594 UYE65594 VIA65594 VRW65594 WBS65594 WLO65594 WVK65594 C131130 IY131130 SU131130 ACQ131130 AMM131130 AWI131130 BGE131130 BQA131130 BZW131130 CJS131130 CTO131130 DDK131130 DNG131130 DXC131130 EGY131130 EQU131130 FAQ131130 FKM131130 FUI131130 GEE131130 GOA131130 GXW131130 HHS131130 HRO131130 IBK131130 ILG131130 IVC131130 JEY131130 JOU131130 JYQ131130 KIM131130 KSI131130 LCE131130 LMA131130 LVW131130 MFS131130 MPO131130 MZK131130 NJG131130 NTC131130 OCY131130 OMU131130 OWQ131130 PGM131130 PQI131130 QAE131130 QKA131130 QTW131130 RDS131130 RNO131130 RXK131130 SHG131130 SRC131130 TAY131130 TKU131130 TUQ131130 UEM131130 UOI131130 UYE131130 VIA131130 VRW131130 WBS131130 WLO131130 WVK131130 C196666 IY196666 SU196666 ACQ196666 AMM196666 AWI196666 BGE196666 BQA196666 BZW196666 CJS196666 CTO196666 DDK196666 DNG196666 DXC196666 EGY196666 EQU196666 FAQ196666 FKM196666 FUI196666 GEE196666 GOA196666 GXW196666 HHS196666 HRO196666 IBK196666 ILG196666 IVC196666 JEY196666 JOU196666 JYQ196666 KIM196666 KSI196666 LCE196666 LMA196666 LVW196666 MFS196666 MPO196666 MZK196666 NJG196666 NTC196666 OCY196666 OMU196666 OWQ196666 PGM196666 PQI196666 QAE196666 QKA196666 QTW196666 RDS196666 RNO196666 RXK196666 SHG196666 SRC196666 TAY196666 TKU196666 TUQ196666 UEM196666 UOI196666 UYE196666 VIA196666 VRW196666 WBS196666 WLO196666 WVK196666 C262202 IY262202 SU262202 ACQ262202 AMM262202 AWI262202 BGE262202 BQA262202 BZW262202 CJS262202 CTO262202 DDK262202 DNG262202 DXC262202 EGY262202 EQU262202 FAQ262202 FKM262202 FUI262202 GEE262202 GOA262202 GXW262202 HHS262202 HRO262202 IBK262202 ILG262202 IVC262202 JEY262202 JOU262202 JYQ262202 KIM262202 KSI262202 LCE262202 LMA262202 LVW262202 MFS262202 MPO262202 MZK262202 NJG262202 NTC262202 OCY262202 OMU262202 OWQ262202 PGM262202 PQI262202 QAE262202 QKA262202 QTW262202 RDS262202 RNO262202 RXK262202 SHG262202 SRC262202 TAY262202 TKU262202 TUQ262202 UEM262202 UOI262202 UYE262202 VIA262202 VRW262202 WBS262202 WLO262202 WVK262202 C327738 IY327738 SU327738 ACQ327738 AMM327738 AWI327738 BGE327738 BQA327738 BZW327738 CJS327738 CTO327738 DDK327738 DNG327738 DXC327738 EGY327738 EQU327738 FAQ327738 FKM327738 FUI327738 GEE327738 GOA327738 GXW327738 HHS327738 HRO327738 IBK327738 ILG327738 IVC327738 JEY327738 JOU327738 JYQ327738 KIM327738 KSI327738 LCE327738 LMA327738 LVW327738 MFS327738 MPO327738 MZK327738 NJG327738 NTC327738 OCY327738 OMU327738 OWQ327738 PGM327738 PQI327738 QAE327738 QKA327738 QTW327738 RDS327738 RNO327738 RXK327738 SHG327738 SRC327738 TAY327738 TKU327738 TUQ327738 UEM327738 UOI327738 UYE327738 VIA327738 VRW327738 WBS327738 WLO327738 WVK327738 C393274 IY393274 SU393274 ACQ393274 AMM393274 AWI393274 BGE393274 BQA393274 BZW393274 CJS393274 CTO393274 DDK393274 DNG393274 DXC393274 EGY393274 EQU393274 FAQ393274 FKM393274 FUI393274 GEE393274 GOA393274 GXW393274 HHS393274 HRO393274 IBK393274 ILG393274 IVC393274 JEY393274 JOU393274 JYQ393274 KIM393274 KSI393274 LCE393274 LMA393274 LVW393274 MFS393274 MPO393274 MZK393274 NJG393274 NTC393274 OCY393274 OMU393274 OWQ393274 PGM393274 PQI393274 QAE393274 QKA393274 QTW393274 RDS393274 RNO393274 RXK393274 SHG393274 SRC393274 TAY393274 TKU393274 TUQ393274 UEM393274 UOI393274 UYE393274 VIA393274 VRW393274 WBS393274 WLO393274 WVK393274 C458810 IY458810 SU458810 ACQ458810 AMM458810 AWI458810 BGE458810 BQA458810 BZW458810 CJS458810 CTO458810 DDK458810 DNG458810 DXC458810 EGY458810 EQU458810 FAQ458810 FKM458810 FUI458810 GEE458810 GOA458810 GXW458810 HHS458810 HRO458810 IBK458810 ILG458810 IVC458810 JEY458810 JOU458810 JYQ458810 KIM458810 KSI458810 LCE458810 LMA458810 LVW458810 MFS458810 MPO458810 MZK458810 NJG458810 NTC458810 OCY458810 OMU458810 OWQ458810 PGM458810 PQI458810 QAE458810 QKA458810 QTW458810 RDS458810 RNO458810 RXK458810 SHG458810 SRC458810 TAY458810 TKU458810 TUQ458810 UEM458810 UOI458810 UYE458810 VIA458810 VRW458810 WBS458810 WLO458810 WVK458810 C524346 IY524346 SU524346 ACQ524346 AMM524346 AWI524346 BGE524346 BQA524346 BZW524346 CJS524346 CTO524346 DDK524346 DNG524346 DXC524346 EGY524346 EQU524346 FAQ524346 FKM524346 FUI524346 GEE524346 GOA524346 GXW524346 HHS524346 HRO524346 IBK524346 ILG524346 IVC524346 JEY524346 JOU524346 JYQ524346 KIM524346 KSI524346 LCE524346 LMA524346 LVW524346 MFS524346 MPO524346 MZK524346 NJG524346 NTC524346 OCY524346 OMU524346 OWQ524346 PGM524346 PQI524346 QAE524346 QKA524346 QTW524346 RDS524346 RNO524346 RXK524346 SHG524346 SRC524346 TAY524346 TKU524346 TUQ524346 UEM524346 UOI524346 UYE524346 VIA524346 VRW524346 WBS524346 WLO524346 WVK524346 C589882 IY589882 SU589882 ACQ589882 AMM589882 AWI589882 BGE589882 BQA589882 BZW589882 CJS589882 CTO589882 DDK589882 DNG589882 DXC589882 EGY589882 EQU589882 FAQ589882 FKM589882 FUI589882 GEE589882 GOA589882 GXW589882 HHS589882 HRO589882 IBK589882 ILG589882 IVC589882 JEY589882 JOU589882 JYQ589882 KIM589882 KSI589882 LCE589882 LMA589882 LVW589882 MFS589882 MPO589882 MZK589882 NJG589882 NTC589882 OCY589882 OMU589882 OWQ589882 PGM589882 PQI589882 QAE589882 QKA589882 QTW589882 RDS589882 RNO589882 RXK589882 SHG589882 SRC589882 TAY589882 TKU589882 TUQ589882 UEM589882 UOI589882 UYE589882 VIA589882 VRW589882 WBS589882 WLO589882 WVK589882 C655418 IY655418 SU655418 ACQ655418 AMM655418 AWI655418 BGE655418 BQA655418 BZW655418 CJS655418 CTO655418 DDK655418 DNG655418 DXC655418 EGY655418 EQU655418 FAQ655418 FKM655418 FUI655418 GEE655418 GOA655418 GXW655418 HHS655418 HRO655418 IBK655418 ILG655418 IVC655418 JEY655418 JOU655418 JYQ655418 KIM655418 KSI655418 LCE655418 LMA655418 LVW655418 MFS655418 MPO655418 MZK655418 NJG655418 NTC655418 OCY655418 OMU655418 OWQ655418 PGM655418 PQI655418 QAE655418 QKA655418 QTW655418 RDS655418 RNO655418 RXK655418 SHG655418 SRC655418 TAY655418 TKU655418 TUQ655418 UEM655418 UOI655418 UYE655418 VIA655418 VRW655418 WBS655418 WLO655418 WVK655418 C720954 IY720954 SU720954 ACQ720954 AMM720954 AWI720954 BGE720954 BQA720954 BZW720954 CJS720954 CTO720954 DDK720954 DNG720954 DXC720954 EGY720954 EQU720954 FAQ720954 FKM720954 FUI720954 GEE720954 GOA720954 GXW720954 HHS720954 HRO720954 IBK720954 ILG720954 IVC720954 JEY720954 JOU720954 JYQ720954 KIM720954 KSI720954 LCE720954 LMA720954 LVW720954 MFS720954 MPO720954 MZK720954 NJG720954 NTC720954 OCY720954 OMU720954 OWQ720954 PGM720954 PQI720954 QAE720954 QKA720954 QTW720954 RDS720954 RNO720954 RXK720954 SHG720954 SRC720954 TAY720954 TKU720954 TUQ720954 UEM720954 UOI720954 UYE720954 VIA720954 VRW720954 WBS720954 WLO720954 WVK720954 C786490 IY786490 SU786490 ACQ786490 AMM786490 AWI786490 BGE786490 BQA786490 BZW786490 CJS786490 CTO786490 DDK786490 DNG786490 DXC786490 EGY786490 EQU786490 FAQ786490 FKM786490 FUI786490 GEE786490 GOA786490 GXW786490 HHS786490 HRO786490 IBK786490 ILG786490 IVC786490 JEY786490 JOU786490 JYQ786490 KIM786490 KSI786490 LCE786490 LMA786490 LVW786490 MFS786490 MPO786490 MZK786490 NJG786490 NTC786490 OCY786490 OMU786490 OWQ786490 PGM786490 PQI786490 QAE786490 QKA786490 QTW786490 RDS786490 RNO786490 RXK786490 SHG786490 SRC786490 TAY786490 TKU786490 TUQ786490 UEM786490 UOI786490 UYE786490 VIA786490 VRW786490 WBS786490 WLO786490 WVK786490 C852026 IY852026 SU852026 ACQ852026 AMM852026 AWI852026 BGE852026 BQA852026 BZW852026 CJS852026 CTO852026 DDK852026 DNG852026 DXC852026 EGY852026 EQU852026 FAQ852026 FKM852026 FUI852026 GEE852026 GOA852026 GXW852026 HHS852026 HRO852026 IBK852026 ILG852026 IVC852026 JEY852026 JOU852026 JYQ852026 KIM852026 KSI852026 LCE852026 LMA852026 LVW852026 MFS852026 MPO852026 MZK852026 NJG852026 NTC852026 OCY852026 OMU852026 OWQ852026 PGM852026 PQI852026 QAE852026 QKA852026 QTW852026 RDS852026 RNO852026 RXK852026 SHG852026 SRC852026 TAY852026 TKU852026 TUQ852026 UEM852026 UOI852026 UYE852026 VIA852026 VRW852026 WBS852026 WLO852026 WVK852026 C917562 IY917562 SU917562 ACQ917562 AMM917562 AWI917562 BGE917562 BQA917562 BZW917562 CJS917562 CTO917562 DDK917562 DNG917562 DXC917562 EGY917562 EQU917562 FAQ917562 FKM917562 FUI917562 GEE917562 GOA917562 GXW917562 HHS917562 HRO917562 IBK917562 ILG917562 IVC917562 JEY917562 JOU917562 JYQ917562 KIM917562 KSI917562 LCE917562 LMA917562 LVW917562 MFS917562 MPO917562 MZK917562 NJG917562 NTC917562 OCY917562 OMU917562 OWQ917562 PGM917562 PQI917562 QAE917562 QKA917562 QTW917562 RDS917562 RNO917562 RXK917562 SHG917562 SRC917562 TAY917562 TKU917562 TUQ917562 UEM917562 UOI917562 UYE917562 VIA917562 VRW917562 WBS917562 WLO917562 WVK917562 C983098 IY983098 SU983098 ACQ983098 AMM983098 AWI983098 BGE983098 BQA983098 BZW983098 CJS983098 CTO983098 DDK983098 DNG983098 DXC983098 EGY983098 EQU983098 FAQ983098 FKM983098 FUI983098 GEE983098 GOA983098 GXW983098 HHS983098 HRO983098 IBK983098 ILG983098 IVC983098 JEY983098 JOU983098 JYQ983098 KIM983098 KSI983098 LCE983098 LMA983098 LVW983098 MFS983098 MPO983098 MZK983098 NJG983098 NTC983098 OCY983098 OMU983098 OWQ983098 PGM983098 PQI983098 QAE983098 QKA983098 QTW983098 RDS983098 RNO983098 RXK983098 SHG983098 SRC983098 TAY983098 TKU983098 TUQ983098 UEM983098 UOI983098 UYE983098 VIA983098 VRW983098 WBS983098 WLO983098 WVK983098 C106 IY106 SU106 ACQ106 AMM106 AWI106 BGE106 BQA106 BZW106 CJS106 CTO106 DDK106 DNG106 DXC106 EGY106 EQU106 FAQ106 FKM106 FUI106 GEE106 GOA106 GXW106 HHS106 HRO106 IBK106 ILG106 IVC106 JEY106 JOU106 JYQ106 KIM106 KSI106 LCE106 LMA106 LVW106 MFS106 MPO106 MZK106 NJG106 NTC106 OCY106 OMU106 OWQ106 PGM106 PQI106 QAE106 QKA106 QTW106 RDS106 RNO106 RXK106 SHG106 SRC106 TAY106 TKU106 TUQ106 UEM106 UOI106 UYE106 VIA106 VRW106 WBS106 WLO106 WVK106 C65619 IY65619 SU65619 ACQ65619 AMM65619 AWI65619 BGE65619 BQA65619 BZW65619 CJS65619 CTO65619 DDK65619 DNG65619 DXC65619 EGY65619 EQU65619 FAQ65619 FKM65619 FUI65619 GEE65619 GOA65619 GXW65619 HHS65619 HRO65619 IBK65619 ILG65619 IVC65619 JEY65619 JOU65619 JYQ65619 KIM65619 KSI65619 LCE65619 LMA65619 LVW65619 MFS65619 MPO65619 MZK65619 NJG65619 NTC65619 OCY65619 OMU65619 OWQ65619 PGM65619 PQI65619 QAE65619 QKA65619 QTW65619 RDS65619 RNO65619 RXK65619 SHG65619 SRC65619 TAY65619 TKU65619 TUQ65619 UEM65619 UOI65619 UYE65619 VIA65619 VRW65619 WBS65619 WLO65619 WVK65619 C131155 IY131155 SU131155 ACQ131155 AMM131155 AWI131155 BGE131155 BQA131155 BZW131155 CJS131155 CTO131155 DDK131155 DNG131155 DXC131155 EGY131155 EQU131155 FAQ131155 FKM131155 FUI131155 GEE131155 GOA131155 GXW131155 HHS131155 HRO131155 IBK131155 ILG131155 IVC131155 JEY131155 JOU131155 JYQ131155 KIM131155 KSI131155 LCE131155 LMA131155 LVW131155 MFS131155 MPO131155 MZK131155 NJG131155 NTC131155 OCY131155 OMU131155 OWQ131155 PGM131155 PQI131155 QAE131155 QKA131155 QTW131155 RDS131155 RNO131155 RXK131155 SHG131155 SRC131155 TAY131155 TKU131155 TUQ131155 UEM131155 UOI131155 UYE131155 VIA131155 VRW131155 WBS131155 WLO131155 WVK131155 C196691 IY196691 SU196691 ACQ196691 AMM196691 AWI196691 BGE196691 BQA196691 BZW196691 CJS196691 CTO196691 DDK196691 DNG196691 DXC196691 EGY196691 EQU196691 FAQ196691 FKM196691 FUI196691 GEE196691 GOA196691 GXW196691 HHS196691 HRO196691 IBK196691 ILG196691 IVC196691 JEY196691 JOU196691 JYQ196691 KIM196691 KSI196691 LCE196691 LMA196691 LVW196691 MFS196691 MPO196691 MZK196691 NJG196691 NTC196691 OCY196691 OMU196691 OWQ196691 PGM196691 PQI196691 QAE196691 QKA196691 QTW196691 RDS196691 RNO196691 RXK196691 SHG196691 SRC196691 TAY196691 TKU196691 TUQ196691 UEM196691 UOI196691 UYE196691 VIA196691 VRW196691 WBS196691 WLO196691 WVK196691 C262227 IY262227 SU262227 ACQ262227 AMM262227 AWI262227 BGE262227 BQA262227 BZW262227 CJS262227 CTO262227 DDK262227 DNG262227 DXC262227 EGY262227 EQU262227 FAQ262227 FKM262227 FUI262227 GEE262227 GOA262227 GXW262227 HHS262227 HRO262227 IBK262227 ILG262227 IVC262227 JEY262227 JOU262227 JYQ262227 KIM262227 KSI262227 LCE262227 LMA262227 LVW262227 MFS262227 MPO262227 MZK262227 NJG262227 NTC262227 OCY262227 OMU262227 OWQ262227 PGM262227 PQI262227 QAE262227 QKA262227 QTW262227 RDS262227 RNO262227 RXK262227 SHG262227 SRC262227 TAY262227 TKU262227 TUQ262227 UEM262227 UOI262227 UYE262227 VIA262227 VRW262227 WBS262227 WLO262227 WVK262227 C327763 IY327763 SU327763 ACQ327763 AMM327763 AWI327763 BGE327763 BQA327763 BZW327763 CJS327763 CTO327763 DDK327763 DNG327763 DXC327763 EGY327763 EQU327763 FAQ327763 FKM327763 FUI327763 GEE327763 GOA327763 GXW327763 HHS327763 HRO327763 IBK327763 ILG327763 IVC327763 JEY327763 JOU327763 JYQ327763 KIM327763 KSI327763 LCE327763 LMA327763 LVW327763 MFS327763 MPO327763 MZK327763 NJG327763 NTC327763 OCY327763 OMU327763 OWQ327763 PGM327763 PQI327763 QAE327763 QKA327763 QTW327763 RDS327763 RNO327763 RXK327763 SHG327763 SRC327763 TAY327763 TKU327763 TUQ327763 UEM327763 UOI327763 UYE327763 VIA327763 VRW327763 WBS327763 WLO327763 WVK327763 C393299 IY393299 SU393299 ACQ393299 AMM393299 AWI393299 BGE393299 BQA393299 BZW393299 CJS393299 CTO393299 DDK393299 DNG393299 DXC393299 EGY393299 EQU393299 FAQ393299 FKM393299 FUI393299 GEE393299 GOA393299 GXW393299 HHS393299 HRO393299 IBK393299 ILG393299 IVC393299 JEY393299 JOU393299 JYQ393299 KIM393299 KSI393299 LCE393299 LMA393299 LVW393299 MFS393299 MPO393299 MZK393299 NJG393299 NTC393299 OCY393299 OMU393299 OWQ393299 PGM393299 PQI393299 QAE393299 QKA393299 QTW393299 RDS393299 RNO393299 RXK393299 SHG393299 SRC393299 TAY393299 TKU393299 TUQ393299 UEM393299 UOI393299 UYE393299 VIA393299 VRW393299 WBS393299 WLO393299 WVK393299 C458835 IY458835 SU458835 ACQ458835 AMM458835 AWI458835 BGE458835 BQA458835 BZW458835 CJS458835 CTO458835 DDK458835 DNG458835 DXC458835 EGY458835 EQU458835 FAQ458835 FKM458835 FUI458835 GEE458835 GOA458835 GXW458835 HHS458835 HRO458835 IBK458835 ILG458835 IVC458835 JEY458835 JOU458835 JYQ458835 KIM458835 KSI458835 LCE458835 LMA458835 LVW458835 MFS458835 MPO458835 MZK458835 NJG458835 NTC458835 OCY458835 OMU458835 OWQ458835 PGM458835 PQI458835 QAE458835 QKA458835 QTW458835 RDS458835 RNO458835 RXK458835 SHG458835 SRC458835 TAY458835 TKU458835 TUQ458835 UEM458835 UOI458835 UYE458835 VIA458835 VRW458835 WBS458835 WLO458835 WVK458835 C524371 IY524371 SU524371 ACQ524371 AMM524371 AWI524371 BGE524371 BQA524371 BZW524371 CJS524371 CTO524371 DDK524371 DNG524371 DXC524371 EGY524371 EQU524371 FAQ524371 FKM524371 FUI524371 GEE524371 GOA524371 GXW524371 HHS524371 HRO524371 IBK524371 ILG524371 IVC524371 JEY524371 JOU524371 JYQ524371 KIM524371 KSI524371 LCE524371 LMA524371 LVW524371 MFS524371 MPO524371 MZK524371 NJG524371 NTC524371 OCY524371 OMU524371 OWQ524371 PGM524371 PQI524371 QAE524371 QKA524371 QTW524371 RDS524371 RNO524371 RXK524371 SHG524371 SRC524371 TAY524371 TKU524371 TUQ524371 UEM524371 UOI524371 UYE524371 VIA524371 VRW524371 WBS524371 WLO524371 WVK524371 C589907 IY589907 SU589907 ACQ589907 AMM589907 AWI589907 BGE589907 BQA589907 BZW589907 CJS589907 CTO589907 DDK589907 DNG589907 DXC589907 EGY589907 EQU589907 FAQ589907 FKM589907 FUI589907 GEE589907 GOA589907 GXW589907 HHS589907 HRO589907 IBK589907 ILG589907 IVC589907 JEY589907 JOU589907 JYQ589907 KIM589907 KSI589907 LCE589907 LMA589907 LVW589907 MFS589907 MPO589907 MZK589907 NJG589907 NTC589907 OCY589907 OMU589907 OWQ589907 PGM589907 PQI589907 QAE589907 QKA589907 QTW589907 RDS589907 RNO589907 RXK589907 SHG589907 SRC589907 TAY589907 TKU589907 TUQ589907 UEM589907 UOI589907 UYE589907 VIA589907 VRW589907 WBS589907 WLO589907 WVK589907 C655443 IY655443 SU655443 ACQ655443 AMM655443 AWI655443 BGE655443 BQA655443 BZW655443 CJS655443 CTO655443 DDK655443 DNG655443 DXC655443 EGY655443 EQU655443 FAQ655443 FKM655443 FUI655443 GEE655443 GOA655443 GXW655443 HHS655443 HRO655443 IBK655443 ILG655443 IVC655443 JEY655443 JOU655443 JYQ655443 KIM655443 KSI655443 LCE655443 LMA655443 LVW655443 MFS655443 MPO655443 MZK655443 NJG655443 NTC655443 OCY655443 OMU655443 OWQ655443 PGM655443 PQI655443 QAE655443 QKA655443 QTW655443 RDS655443 RNO655443 RXK655443 SHG655443 SRC655443 TAY655443 TKU655443 TUQ655443 UEM655443 UOI655443 UYE655443 VIA655443 VRW655443 WBS655443 WLO655443 WVK655443 C720979 IY720979 SU720979 ACQ720979 AMM720979 AWI720979 BGE720979 BQA720979 BZW720979 CJS720979 CTO720979 DDK720979 DNG720979 DXC720979 EGY720979 EQU720979 FAQ720979 FKM720979 FUI720979 GEE720979 GOA720979 GXW720979 HHS720979 HRO720979 IBK720979 ILG720979 IVC720979 JEY720979 JOU720979 JYQ720979 KIM720979 KSI720979 LCE720979 LMA720979 LVW720979 MFS720979 MPO720979 MZK720979 NJG720979 NTC720979 OCY720979 OMU720979 OWQ720979 PGM720979 PQI720979 QAE720979 QKA720979 QTW720979 RDS720979 RNO720979 RXK720979 SHG720979 SRC720979 TAY720979 TKU720979 TUQ720979 UEM720979 UOI720979 UYE720979 VIA720979 VRW720979 WBS720979 WLO720979 WVK720979 C786515 IY786515 SU786515 ACQ786515 AMM786515 AWI786515 BGE786515 BQA786515 BZW786515 CJS786515 CTO786515 DDK786515 DNG786515 DXC786515 EGY786515 EQU786515 FAQ786515 FKM786515 FUI786515 GEE786515 GOA786515 GXW786515 HHS786515 HRO786515 IBK786515 ILG786515 IVC786515 JEY786515 JOU786515 JYQ786515 KIM786515 KSI786515 LCE786515 LMA786515 LVW786515 MFS786515 MPO786515 MZK786515 NJG786515 NTC786515 OCY786515 OMU786515 OWQ786515 PGM786515 PQI786515 QAE786515 QKA786515 QTW786515 RDS786515 RNO786515 RXK786515 SHG786515 SRC786515 TAY786515 TKU786515 TUQ786515 UEM786515 UOI786515 UYE786515 VIA786515 VRW786515 WBS786515 WLO786515 WVK786515 C852051 IY852051 SU852051 ACQ852051 AMM852051 AWI852051 BGE852051 BQA852051 BZW852051 CJS852051 CTO852051 DDK852051 DNG852051 DXC852051 EGY852051 EQU852051 FAQ852051 FKM852051 FUI852051 GEE852051 GOA852051 GXW852051 HHS852051 HRO852051 IBK852051 ILG852051 IVC852051 JEY852051 JOU852051 JYQ852051 KIM852051 KSI852051 LCE852051 LMA852051 LVW852051 MFS852051 MPO852051 MZK852051 NJG852051 NTC852051 OCY852051 OMU852051 OWQ852051 PGM852051 PQI852051 QAE852051 QKA852051 QTW852051 RDS852051 RNO852051 RXK852051 SHG852051 SRC852051 TAY852051 TKU852051 TUQ852051 UEM852051 UOI852051 UYE852051 VIA852051 VRW852051 WBS852051 WLO852051 WVK852051 C917587 IY917587 SU917587 ACQ917587 AMM917587 AWI917587 BGE917587 BQA917587 BZW917587 CJS917587 CTO917587 DDK917587 DNG917587 DXC917587 EGY917587 EQU917587 FAQ917587 FKM917587 FUI917587 GEE917587 GOA917587 GXW917587 HHS917587 HRO917587 IBK917587 ILG917587 IVC917587 JEY917587 JOU917587 JYQ917587 KIM917587 KSI917587 LCE917587 LMA917587 LVW917587 MFS917587 MPO917587 MZK917587 NJG917587 NTC917587 OCY917587 OMU917587 OWQ917587 PGM917587 PQI917587 QAE917587 QKA917587 QTW917587 RDS917587 RNO917587 RXK917587 SHG917587 SRC917587 TAY917587 TKU917587 TUQ917587 UEM917587 UOI917587 UYE917587 VIA917587 VRW917587 WBS917587 WLO917587 WVK917587 C983123 IY983123 SU983123 ACQ983123 AMM983123 AWI983123 BGE983123 BQA983123 BZW983123 CJS983123 CTO983123 DDK983123 DNG983123 DXC983123 EGY983123 EQU983123 FAQ983123 FKM983123 FUI983123 GEE983123 GOA983123 GXW983123 HHS983123 HRO983123 IBK983123 ILG983123 IVC983123 JEY983123 JOU983123 JYQ983123 KIM983123 KSI983123 LCE983123 LMA983123 LVW983123 MFS983123 MPO983123 MZK983123 NJG983123 NTC983123 OCY983123 OMU983123 OWQ983123 PGM983123 PQI983123 QAE983123 QKA983123 QTW983123 RDS983123 RNO983123 RXK983123 SHG983123 SRC983123 TAY983123 TKU983123 TUQ983123 UEM983123 UOI983123 UYE983123 VIA983123 VRW983123 WBS983123 WLO983123 WVK983123 C108 IY108 SU108 ACQ108 AMM108 AWI108 BGE108 BQA108 BZW108 CJS108 CTO108 DDK108 DNG108 DXC108 EGY108 EQU108 FAQ108 FKM108 FUI108 GEE108 GOA108 GXW108 HHS108 HRO108 IBK108 ILG108 IVC108 JEY108 JOU108 JYQ108 KIM108 KSI108 LCE108 LMA108 LVW108 MFS108 MPO108 MZK108 NJG108 NTC108 OCY108 OMU108 OWQ108 PGM108 PQI108 QAE108 QKA108 QTW108 RDS108 RNO108 RXK108 SHG108 SRC108 TAY108 TKU108 TUQ108 UEM108 UOI108 UYE108 VIA108 VRW108 WBS108 WLO108 WVK108 C65621 IY65621 SU65621 ACQ65621 AMM65621 AWI65621 BGE65621 BQA65621 BZW65621 CJS65621 CTO65621 DDK65621 DNG65621 DXC65621 EGY65621 EQU65621 FAQ65621 FKM65621 FUI65621 GEE65621 GOA65621 GXW65621 HHS65621 HRO65621 IBK65621 ILG65621 IVC65621 JEY65621 JOU65621 JYQ65621 KIM65621 KSI65621 LCE65621 LMA65621 LVW65621 MFS65621 MPO65621 MZK65621 NJG65621 NTC65621 OCY65621 OMU65621 OWQ65621 PGM65621 PQI65621 QAE65621 QKA65621 QTW65621 RDS65621 RNO65621 RXK65621 SHG65621 SRC65621 TAY65621 TKU65621 TUQ65621 UEM65621 UOI65621 UYE65621 VIA65621 VRW65621 WBS65621 WLO65621 WVK65621 C131157 IY131157 SU131157 ACQ131157 AMM131157 AWI131157 BGE131157 BQA131157 BZW131157 CJS131157 CTO131157 DDK131157 DNG131157 DXC131157 EGY131157 EQU131157 FAQ131157 FKM131157 FUI131157 GEE131157 GOA131157 GXW131157 HHS131157 HRO131157 IBK131157 ILG131157 IVC131157 JEY131157 JOU131157 JYQ131157 KIM131157 KSI131157 LCE131157 LMA131157 LVW131157 MFS131157 MPO131157 MZK131157 NJG131157 NTC131157 OCY131157 OMU131157 OWQ131157 PGM131157 PQI131157 QAE131157 QKA131157 QTW131157 RDS131157 RNO131157 RXK131157 SHG131157 SRC131157 TAY131157 TKU131157 TUQ131157 UEM131157 UOI131157 UYE131157 VIA131157 VRW131157 WBS131157 WLO131157 WVK131157 C196693 IY196693 SU196693 ACQ196693 AMM196693 AWI196693 BGE196693 BQA196693 BZW196693 CJS196693 CTO196693 DDK196693 DNG196693 DXC196693 EGY196693 EQU196693 FAQ196693 FKM196693 FUI196693 GEE196693 GOA196693 GXW196693 HHS196693 HRO196693 IBK196693 ILG196693 IVC196693 JEY196693 JOU196693 JYQ196693 KIM196693 KSI196693 LCE196693 LMA196693 LVW196693 MFS196693 MPO196693 MZK196693 NJG196693 NTC196693 OCY196693 OMU196693 OWQ196693 PGM196693 PQI196693 QAE196693 QKA196693 QTW196693 RDS196693 RNO196693 RXK196693 SHG196693 SRC196693 TAY196693 TKU196693 TUQ196693 UEM196693 UOI196693 UYE196693 VIA196693 VRW196693 WBS196693 WLO196693 WVK196693 C262229 IY262229 SU262229 ACQ262229 AMM262229 AWI262229 BGE262229 BQA262229 BZW262229 CJS262229 CTO262229 DDK262229 DNG262229 DXC262229 EGY262229 EQU262229 FAQ262229 FKM262229 FUI262229 GEE262229 GOA262229 GXW262229 HHS262229 HRO262229 IBK262229 ILG262229 IVC262229 JEY262229 JOU262229 JYQ262229 KIM262229 KSI262229 LCE262229 LMA262229 LVW262229 MFS262229 MPO262229 MZK262229 NJG262229 NTC262229 OCY262229 OMU262229 OWQ262229 PGM262229 PQI262229 QAE262229 QKA262229 QTW262229 RDS262229 RNO262229 RXK262229 SHG262229 SRC262229 TAY262229 TKU262229 TUQ262229 UEM262229 UOI262229 UYE262229 VIA262229 VRW262229 WBS262229 WLO262229 WVK262229 C327765 IY327765 SU327765 ACQ327765 AMM327765 AWI327765 BGE327765 BQA327765 BZW327765 CJS327765 CTO327765 DDK327765 DNG327765 DXC327765 EGY327765 EQU327765 FAQ327765 FKM327765 FUI327765 GEE327765 GOA327765 GXW327765 HHS327765 HRO327765 IBK327765 ILG327765 IVC327765 JEY327765 JOU327765 JYQ327765 KIM327765 KSI327765 LCE327765 LMA327765 LVW327765 MFS327765 MPO327765 MZK327765 NJG327765 NTC327765 OCY327765 OMU327765 OWQ327765 PGM327765 PQI327765 QAE327765 QKA327765 QTW327765 RDS327765 RNO327765 RXK327765 SHG327765 SRC327765 TAY327765 TKU327765 TUQ327765 UEM327765 UOI327765 UYE327765 VIA327765 VRW327765 WBS327765 WLO327765 WVK327765 C393301 IY393301 SU393301 ACQ393301 AMM393301 AWI393301 BGE393301 BQA393301 BZW393301 CJS393301 CTO393301 DDK393301 DNG393301 DXC393301 EGY393301 EQU393301 FAQ393301 FKM393301 FUI393301 GEE393301 GOA393301 GXW393301 HHS393301 HRO393301 IBK393301 ILG393301 IVC393301 JEY393301 JOU393301 JYQ393301 KIM393301 KSI393301 LCE393301 LMA393301 LVW393301 MFS393301 MPO393301 MZK393301 NJG393301 NTC393301 OCY393301 OMU393301 OWQ393301 PGM393301 PQI393301 QAE393301 QKA393301 QTW393301 RDS393301 RNO393301 RXK393301 SHG393301 SRC393301 TAY393301 TKU393301 TUQ393301 UEM393301 UOI393301 UYE393301 VIA393301 VRW393301 WBS393301 WLO393301 WVK393301 C458837 IY458837 SU458837 ACQ458837 AMM458837 AWI458837 BGE458837 BQA458837 BZW458837 CJS458837 CTO458837 DDK458837 DNG458837 DXC458837 EGY458837 EQU458837 FAQ458837 FKM458837 FUI458837 GEE458837 GOA458837 GXW458837 HHS458837 HRO458837 IBK458837 ILG458837 IVC458837 JEY458837 JOU458837 JYQ458837 KIM458837 KSI458837 LCE458837 LMA458837 LVW458837 MFS458837 MPO458837 MZK458837 NJG458837 NTC458837 OCY458837 OMU458837 OWQ458837 PGM458837 PQI458837 QAE458837 QKA458837 QTW458837 RDS458837 RNO458837 RXK458837 SHG458837 SRC458837 TAY458837 TKU458837 TUQ458837 UEM458837 UOI458837 UYE458837 VIA458837 VRW458837 WBS458837 WLO458837 WVK458837 C524373 IY524373 SU524373 ACQ524373 AMM524373 AWI524373 BGE524373 BQA524373 BZW524373 CJS524373 CTO524373 DDK524373 DNG524373 DXC524373 EGY524373 EQU524373 FAQ524373 FKM524373 FUI524373 GEE524373 GOA524373 GXW524373 HHS524373 HRO524373 IBK524373 ILG524373 IVC524373 JEY524373 JOU524373 JYQ524373 KIM524373 KSI524373 LCE524373 LMA524373 LVW524373 MFS524373 MPO524373 MZK524373 NJG524373 NTC524373 OCY524373 OMU524373 OWQ524373 PGM524373 PQI524373 QAE524373 QKA524373 QTW524373 RDS524373 RNO524373 RXK524373 SHG524373 SRC524373 TAY524373 TKU524373 TUQ524373 UEM524373 UOI524373 UYE524373 VIA524373 VRW524373 WBS524373 WLO524373 WVK524373 C589909 IY589909 SU589909 ACQ589909 AMM589909 AWI589909 BGE589909 BQA589909 BZW589909 CJS589909 CTO589909 DDK589909 DNG589909 DXC589909 EGY589909 EQU589909 FAQ589909 FKM589909 FUI589909 GEE589909 GOA589909 GXW589909 HHS589909 HRO589909 IBK589909 ILG589909 IVC589909 JEY589909 JOU589909 JYQ589909 KIM589909 KSI589909 LCE589909 LMA589909 LVW589909 MFS589909 MPO589909 MZK589909 NJG589909 NTC589909 OCY589909 OMU589909 OWQ589909 PGM589909 PQI589909 QAE589909 QKA589909 QTW589909 RDS589909 RNO589909 RXK589909 SHG589909 SRC589909 TAY589909 TKU589909 TUQ589909 UEM589909 UOI589909 UYE589909 VIA589909 VRW589909 WBS589909 WLO589909 WVK589909 C655445 IY655445 SU655445 ACQ655445 AMM655445 AWI655445 BGE655445 BQA655445 BZW655445 CJS655445 CTO655445 DDK655445 DNG655445 DXC655445 EGY655445 EQU655445 FAQ655445 FKM655445 FUI655445 GEE655445 GOA655445 GXW655445 HHS655445 HRO655445 IBK655445 ILG655445 IVC655445 JEY655445 JOU655445 JYQ655445 KIM655445 KSI655445 LCE655445 LMA655445 LVW655445 MFS655445 MPO655445 MZK655445 NJG655445 NTC655445 OCY655445 OMU655445 OWQ655445 PGM655445 PQI655445 QAE655445 QKA655445 QTW655445 RDS655445 RNO655445 RXK655445 SHG655445 SRC655445 TAY655445 TKU655445 TUQ655445 UEM655445 UOI655445 UYE655445 VIA655445 VRW655445 WBS655445 WLO655445 WVK655445 C720981 IY720981 SU720981 ACQ720981 AMM720981 AWI720981 BGE720981 BQA720981 BZW720981 CJS720981 CTO720981 DDK720981 DNG720981 DXC720981 EGY720981 EQU720981 FAQ720981 FKM720981 FUI720981 GEE720981 GOA720981 GXW720981 HHS720981 HRO720981 IBK720981 ILG720981 IVC720981 JEY720981 JOU720981 JYQ720981 KIM720981 KSI720981 LCE720981 LMA720981 LVW720981 MFS720981 MPO720981 MZK720981 NJG720981 NTC720981 OCY720981 OMU720981 OWQ720981 PGM720981 PQI720981 QAE720981 QKA720981 QTW720981 RDS720981 RNO720981 RXK720981 SHG720981 SRC720981 TAY720981 TKU720981 TUQ720981 UEM720981 UOI720981 UYE720981 VIA720981 VRW720981 WBS720981 WLO720981 WVK720981 C786517 IY786517 SU786517 ACQ786517 AMM786517 AWI786517 BGE786517 BQA786517 BZW786517 CJS786517 CTO786517 DDK786517 DNG786517 DXC786517 EGY786517 EQU786517 FAQ786517 FKM786517 FUI786517 GEE786517 GOA786517 GXW786517 HHS786517 HRO786517 IBK786517 ILG786517 IVC786517 JEY786517 JOU786517 JYQ786517 KIM786517 KSI786517 LCE786517 LMA786517 LVW786517 MFS786517 MPO786517 MZK786517 NJG786517 NTC786517 OCY786517 OMU786517 OWQ786517 PGM786517 PQI786517 QAE786517 QKA786517 QTW786517 RDS786517 RNO786517 RXK786517 SHG786517 SRC786517 TAY786517 TKU786517 TUQ786517 UEM786517 UOI786517 UYE786517 VIA786517 VRW786517 WBS786517 WLO786517 WVK786517 C852053 IY852053 SU852053 ACQ852053 AMM852053 AWI852053 BGE852053 BQA852053 BZW852053 CJS852053 CTO852053 DDK852053 DNG852053 DXC852053 EGY852053 EQU852053 FAQ852053 FKM852053 FUI852053 GEE852053 GOA852053 GXW852053 HHS852053 HRO852053 IBK852053 ILG852053 IVC852053 JEY852053 JOU852053 JYQ852053 KIM852053 KSI852053 LCE852053 LMA852053 LVW852053 MFS852053 MPO852053 MZK852053 NJG852053 NTC852053 OCY852053 OMU852053 OWQ852053 PGM852053 PQI852053 QAE852053 QKA852053 QTW852053 RDS852053 RNO852053 RXK852053 SHG852053 SRC852053 TAY852053 TKU852053 TUQ852053 UEM852053 UOI852053 UYE852053 VIA852053 VRW852053 WBS852053 WLO852053 WVK852053 C917589 IY917589 SU917589 ACQ917589 AMM917589 AWI917589 BGE917589 BQA917589 BZW917589 CJS917589 CTO917589 DDK917589 DNG917589 DXC917589 EGY917589 EQU917589 FAQ917589 FKM917589 FUI917589 GEE917589 GOA917589 GXW917589 HHS917589 HRO917589 IBK917589 ILG917589 IVC917589 JEY917589 JOU917589 JYQ917589 KIM917589 KSI917589 LCE917589 LMA917589 LVW917589 MFS917589 MPO917589 MZK917589 NJG917589 NTC917589 OCY917589 OMU917589 OWQ917589 PGM917589 PQI917589 QAE917589 QKA917589 QTW917589 RDS917589 RNO917589 RXK917589 SHG917589 SRC917589 TAY917589 TKU917589 TUQ917589 UEM917589 UOI917589 UYE917589 VIA917589 VRW917589 WBS917589 WLO917589 WVK917589 C983125 IY983125 SU983125 ACQ983125 AMM983125 AWI983125 BGE983125 BQA983125 BZW983125 CJS983125 CTO983125 DDK983125 DNG983125 DXC983125 EGY983125 EQU983125 FAQ983125 FKM983125 FUI983125 GEE983125 GOA983125 GXW983125 HHS983125 HRO983125 IBK983125 ILG983125 IVC983125 JEY983125 JOU983125 JYQ983125 KIM983125 KSI983125 LCE983125 LMA983125 LVW983125 MFS983125 MPO983125 MZK983125 NJG983125 NTC983125 OCY983125 OMU983125 OWQ983125 PGM983125 PQI983125 QAE983125 QKA983125 QTW983125 RDS983125 RNO983125 RXK983125 SHG983125 SRC983125 TAY983125 TKU983125 TUQ983125 UEM983125 UOI983125 UYE983125 VIA983125 VRW983125 WBS983125 WLO983125 WVK983125 C68 IY68 SU68 ACQ68 AMM68 AWI68 BGE68 BQA68 BZW68 CJS68 CTO68 DDK68 DNG68 DXC68 EGY68 EQU68 FAQ68 FKM68 FUI68 GEE68 GOA68 GXW68 HHS68 HRO68 IBK68 ILG68 IVC68 JEY68 JOU68 JYQ68 KIM68 KSI68 LCE68 LMA68 LVW68 MFS68 MPO68 MZK68 NJG68 NTC68 OCY68 OMU68 OWQ68 PGM68 PQI68 QAE68 QKA68 QTW68 RDS68 RNO68 RXK68 SHG68 SRC68 TAY68 TKU68 TUQ68 UEM68 UOI68 UYE68 VIA68 VRW68 WBS68 WLO68 WVK68 C65581 IY65581 SU65581 ACQ65581 AMM65581 AWI65581 BGE65581 BQA65581 BZW65581 CJS65581 CTO65581 DDK65581 DNG65581 DXC65581 EGY65581 EQU65581 FAQ65581 FKM65581 FUI65581 GEE65581 GOA65581 GXW65581 HHS65581 HRO65581 IBK65581 ILG65581 IVC65581 JEY65581 JOU65581 JYQ65581 KIM65581 KSI65581 LCE65581 LMA65581 LVW65581 MFS65581 MPO65581 MZK65581 NJG65581 NTC65581 OCY65581 OMU65581 OWQ65581 PGM65581 PQI65581 QAE65581 QKA65581 QTW65581 RDS65581 RNO65581 RXK65581 SHG65581 SRC65581 TAY65581 TKU65581 TUQ65581 UEM65581 UOI65581 UYE65581 VIA65581 VRW65581 WBS65581 WLO65581 WVK65581 C131117 IY131117 SU131117 ACQ131117 AMM131117 AWI131117 BGE131117 BQA131117 BZW131117 CJS131117 CTO131117 DDK131117 DNG131117 DXC131117 EGY131117 EQU131117 FAQ131117 FKM131117 FUI131117 GEE131117 GOA131117 GXW131117 HHS131117 HRO131117 IBK131117 ILG131117 IVC131117 JEY131117 JOU131117 JYQ131117 KIM131117 KSI131117 LCE131117 LMA131117 LVW131117 MFS131117 MPO131117 MZK131117 NJG131117 NTC131117 OCY131117 OMU131117 OWQ131117 PGM131117 PQI131117 QAE131117 QKA131117 QTW131117 RDS131117 RNO131117 RXK131117 SHG131117 SRC131117 TAY131117 TKU131117 TUQ131117 UEM131117 UOI131117 UYE131117 VIA131117 VRW131117 WBS131117 WLO131117 WVK131117 C196653 IY196653 SU196653 ACQ196653 AMM196653 AWI196653 BGE196653 BQA196653 BZW196653 CJS196653 CTO196653 DDK196653 DNG196653 DXC196653 EGY196653 EQU196653 FAQ196653 FKM196653 FUI196653 GEE196653 GOA196653 GXW196653 HHS196653 HRO196653 IBK196653 ILG196653 IVC196653 JEY196653 JOU196653 JYQ196653 KIM196653 KSI196653 LCE196653 LMA196653 LVW196653 MFS196653 MPO196653 MZK196653 NJG196653 NTC196653 OCY196653 OMU196653 OWQ196653 PGM196653 PQI196653 QAE196653 QKA196653 QTW196653 RDS196653 RNO196653 RXK196653 SHG196653 SRC196653 TAY196653 TKU196653 TUQ196653 UEM196653 UOI196653 UYE196653 VIA196653 VRW196653 WBS196653 WLO196653 WVK196653 C262189 IY262189 SU262189 ACQ262189 AMM262189 AWI262189 BGE262189 BQA262189 BZW262189 CJS262189 CTO262189 DDK262189 DNG262189 DXC262189 EGY262189 EQU262189 FAQ262189 FKM262189 FUI262189 GEE262189 GOA262189 GXW262189 HHS262189 HRO262189 IBK262189 ILG262189 IVC262189 JEY262189 JOU262189 JYQ262189 KIM262189 KSI262189 LCE262189 LMA262189 LVW262189 MFS262189 MPO262189 MZK262189 NJG262189 NTC262189 OCY262189 OMU262189 OWQ262189 PGM262189 PQI262189 QAE262189 QKA262189 QTW262189 RDS262189 RNO262189 RXK262189 SHG262189 SRC262189 TAY262189 TKU262189 TUQ262189 UEM262189 UOI262189 UYE262189 VIA262189 VRW262189 WBS262189 WLO262189 WVK262189 C327725 IY327725 SU327725 ACQ327725 AMM327725 AWI327725 BGE327725 BQA327725 BZW327725 CJS327725 CTO327725 DDK327725 DNG327725 DXC327725 EGY327725 EQU327725 FAQ327725 FKM327725 FUI327725 GEE327725 GOA327725 GXW327725 HHS327725 HRO327725 IBK327725 ILG327725 IVC327725 JEY327725 JOU327725 JYQ327725 KIM327725 KSI327725 LCE327725 LMA327725 LVW327725 MFS327725 MPO327725 MZK327725 NJG327725 NTC327725 OCY327725 OMU327725 OWQ327725 PGM327725 PQI327725 QAE327725 QKA327725 QTW327725 RDS327725 RNO327725 RXK327725 SHG327725 SRC327725 TAY327725 TKU327725 TUQ327725 UEM327725 UOI327725 UYE327725 VIA327725 VRW327725 WBS327725 WLO327725 WVK327725 C393261 IY393261 SU393261 ACQ393261 AMM393261 AWI393261 BGE393261 BQA393261 BZW393261 CJS393261 CTO393261 DDK393261 DNG393261 DXC393261 EGY393261 EQU393261 FAQ393261 FKM393261 FUI393261 GEE393261 GOA393261 GXW393261 HHS393261 HRO393261 IBK393261 ILG393261 IVC393261 JEY393261 JOU393261 JYQ393261 KIM393261 KSI393261 LCE393261 LMA393261 LVW393261 MFS393261 MPO393261 MZK393261 NJG393261 NTC393261 OCY393261 OMU393261 OWQ393261 PGM393261 PQI393261 QAE393261 QKA393261 QTW393261 RDS393261 RNO393261 RXK393261 SHG393261 SRC393261 TAY393261 TKU393261 TUQ393261 UEM393261 UOI393261 UYE393261 VIA393261 VRW393261 WBS393261 WLO393261 WVK393261 C458797 IY458797 SU458797 ACQ458797 AMM458797 AWI458797 BGE458797 BQA458797 BZW458797 CJS458797 CTO458797 DDK458797 DNG458797 DXC458797 EGY458797 EQU458797 FAQ458797 FKM458797 FUI458797 GEE458797 GOA458797 GXW458797 HHS458797 HRO458797 IBK458797 ILG458797 IVC458797 JEY458797 JOU458797 JYQ458797 KIM458797 KSI458797 LCE458797 LMA458797 LVW458797 MFS458797 MPO458797 MZK458797 NJG458797 NTC458797 OCY458797 OMU458797 OWQ458797 PGM458797 PQI458797 QAE458797 QKA458797 QTW458797 RDS458797 RNO458797 RXK458797 SHG458797 SRC458797 TAY458797 TKU458797 TUQ458797 UEM458797 UOI458797 UYE458797 VIA458797 VRW458797 WBS458797 WLO458797 WVK458797 C524333 IY524333 SU524333 ACQ524333 AMM524333 AWI524333 BGE524333 BQA524333 BZW524333 CJS524333 CTO524333 DDK524333 DNG524333 DXC524333 EGY524333 EQU524333 FAQ524333 FKM524333 FUI524333 GEE524333 GOA524333 GXW524333 HHS524333 HRO524333 IBK524333 ILG524333 IVC524333 JEY524333 JOU524333 JYQ524333 KIM524333 KSI524333 LCE524333 LMA524333 LVW524333 MFS524333 MPO524333 MZK524333 NJG524333 NTC524333 OCY524333 OMU524333 OWQ524333 PGM524333 PQI524333 QAE524333 QKA524333 QTW524333 RDS524333 RNO524333 RXK524333 SHG524333 SRC524333 TAY524333 TKU524333 TUQ524333 UEM524333 UOI524333 UYE524333 VIA524333 VRW524333 WBS524333 WLO524333 WVK524333 C589869 IY589869 SU589869 ACQ589869 AMM589869 AWI589869 BGE589869 BQA589869 BZW589869 CJS589869 CTO589869 DDK589869 DNG589869 DXC589869 EGY589869 EQU589869 FAQ589869 FKM589869 FUI589869 GEE589869 GOA589869 GXW589869 HHS589869 HRO589869 IBK589869 ILG589869 IVC589869 JEY589869 JOU589869 JYQ589869 KIM589869 KSI589869 LCE589869 LMA589869 LVW589869 MFS589869 MPO589869 MZK589869 NJG589869 NTC589869 OCY589869 OMU589869 OWQ589869 PGM589869 PQI589869 QAE589869 QKA589869 QTW589869 RDS589869 RNO589869 RXK589869 SHG589869 SRC589869 TAY589869 TKU589869 TUQ589869 UEM589869 UOI589869 UYE589869 VIA589869 VRW589869 WBS589869 WLO589869 WVK589869 C655405 IY655405 SU655405 ACQ655405 AMM655405 AWI655405 BGE655405 BQA655405 BZW655405 CJS655405 CTO655405 DDK655405 DNG655405 DXC655405 EGY655405 EQU655405 FAQ655405 FKM655405 FUI655405 GEE655405 GOA655405 GXW655405 HHS655405 HRO655405 IBK655405 ILG655405 IVC655405 JEY655405 JOU655405 JYQ655405 KIM655405 KSI655405 LCE655405 LMA655405 LVW655405 MFS655405 MPO655405 MZK655405 NJG655405 NTC655405 OCY655405 OMU655405 OWQ655405 PGM655405 PQI655405 QAE655405 QKA655405 QTW655405 RDS655405 RNO655405 RXK655405 SHG655405 SRC655405 TAY655405 TKU655405 TUQ655405 UEM655405 UOI655405 UYE655405 VIA655405 VRW655405 WBS655405 WLO655405 WVK655405 C720941 IY720941 SU720941 ACQ720941 AMM720941 AWI720941 BGE720941 BQA720941 BZW720941 CJS720941 CTO720941 DDK720941 DNG720941 DXC720941 EGY720941 EQU720941 FAQ720941 FKM720941 FUI720941 GEE720941 GOA720941 GXW720941 HHS720941 HRO720941 IBK720941 ILG720941 IVC720941 JEY720941 JOU720941 JYQ720941 KIM720941 KSI720941 LCE720941 LMA720941 LVW720941 MFS720941 MPO720941 MZK720941 NJG720941 NTC720941 OCY720941 OMU720941 OWQ720941 PGM720941 PQI720941 QAE720941 QKA720941 QTW720941 RDS720941 RNO720941 RXK720941 SHG720941 SRC720941 TAY720941 TKU720941 TUQ720941 UEM720941 UOI720941 UYE720941 VIA720941 VRW720941 WBS720941 WLO720941 WVK720941 C786477 IY786477 SU786477 ACQ786477 AMM786477 AWI786477 BGE786477 BQA786477 BZW786477 CJS786477 CTO786477 DDK786477 DNG786477 DXC786477 EGY786477 EQU786477 FAQ786477 FKM786477 FUI786477 GEE786477 GOA786477 GXW786477 HHS786477 HRO786477 IBK786477 ILG786477 IVC786477 JEY786477 JOU786477 JYQ786477 KIM786477 KSI786477 LCE786477 LMA786477 LVW786477 MFS786477 MPO786477 MZK786477 NJG786477 NTC786477 OCY786477 OMU786477 OWQ786477 PGM786477 PQI786477 QAE786477 QKA786477 QTW786477 RDS786477 RNO786477 RXK786477 SHG786477 SRC786477 TAY786477 TKU786477 TUQ786477 UEM786477 UOI786477 UYE786477 VIA786477 VRW786477 WBS786477 WLO786477 WVK786477 C852013 IY852013 SU852013 ACQ852013 AMM852013 AWI852013 BGE852013 BQA852013 BZW852013 CJS852013 CTO852013 DDK852013 DNG852013 DXC852013 EGY852013 EQU852013 FAQ852013 FKM852013 FUI852013 GEE852013 GOA852013 GXW852013 HHS852013 HRO852013 IBK852013 ILG852013 IVC852013 JEY852013 JOU852013 JYQ852013 KIM852013 KSI852013 LCE852013 LMA852013 LVW852013 MFS852013 MPO852013 MZK852013 NJG852013 NTC852013 OCY852013 OMU852013 OWQ852013 PGM852013 PQI852013 QAE852013 QKA852013 QTW852013 RDS852013 RNO852013 RXK852013 SHG852013 SRC852013 TAY852013 TKU852013 TUQ852013 UEM852013 UOI852013 UYE852013 VIA852013 VRW852013 WBS852013 WLO852013 WVK852013 C917549 IY917549 SU917549 ACQ917549 AMM917549 AWI917549 BGE917549 BQA917549 BZW917549 CJS917549 CTO917549 DDK917549 DNG917549 DXC917549 EGY917549 EQU917549 FAQ917549 FKM917549 FUI917549 GEE917549 GOA917549 GXW917549 HHS917549 HRO917549 IBK917549 ILG917549 IVC917549 JEY917549 JOU917549 JYQ917549 KIM917549 KSI917549 LCE917549 LMA917549 LVW917549 MFS917549 MPO917549 MZK917549 NJG917549 NTC917549 OCY917549 OMU917549 OWQ917549 PGM917549 PQI917549 QAE917549 QKA917549 QTW917549 RDS917549 RNO917549 RXK917549 SHG917549 SRC917549 TAY917549 TKU917549 TUQ917549 UEM917549 UOI917549 UYE917549 VIA917549 VRW917549 WBS917549 WLO917549 WVK917549 C983085 IY983085 SU983085 ACQ983085 AMM983085 AWI983085 BGE983085 BQA983085 BZW983085 CJS983085 CTO983085 DDK983085 DNG983085 DXC983085 EGY983085 EQU983085 FAQ983085 FKM983085 FUI983085 GEE983085 GOA983085 GXW983085 HHS983085 HRO983085 IBK983085 ILG983085 IVC983085 JEY983085 JOU983085 JYQ983085 KIM983085 KSI983085 LCE983085 LMA983085 LVW983085 MFS983085 MPO983085 MZK983085 NJG983085 NTC983085 OCY983085 OMU983085 OWQ983085 PGM983085 PQI983085 QAE983085 QKA983085 QTW983085 RDS983085 RNO983085 RXK983085 SHG983085 SRC983085 TAY983085 TKU983085 TUQ983085 UEM983085 UOI983085 UYE983085 VIA983085 VRW983085 WBS983085 WLO983085 WVK983085 C75 IY75 SU75 ACQ75 AMM75 AWI75 BGE75 BQA75 BZW75 CJS75 CTO75 DDK75 DNG75 DXC75 EGY75 EQU75 FAQ75 FKM75 FUI75 GEE75 GOA75 GXW75 HHS75 HRO75 IBK75 ILG75 IVC75 JEY75 JOU75 JYQ75 KIM75 KSI75 LCE75 LMA75 LVW75 MFS75 MPO75 MZK75 NJG75 NTC75 OCY75 OMU75 OWQ75 PGM75 PQI75 QAE75 QKA75 QTW75 RDS75 RNO75 RXK75 SHG75 SRC75 TAY75 TKU75 TUQ75 UEM75 UOI75 UYE75 VIA75 VRW75 WBS75 WLO75 WVK75 C65588 IY65588 SU65588 ACQ65588 AMM65588 AWI65588 BGE65588 BQA65588 BZW65588 CJS65588 CTO65588 DDK65588 DNG65588 DXC65588 EGY65588 EQU65588 FAQ65588 FKM65588 FUI65588 GEE65588 GOA65588 GXW65588 HHS65588 HRO65588 IBK65588 ILG65588 IVC65588 JEY65588 JOU65588 JYQ65588 KIM65588 KSI65588 LCE65588 LMA65588 LVW65588 MFS65588 MPO65588 MZK65588 NJG65588 NTC65588 OCY65588 OMU65588 OWQ65588 PGM65588 PQI65588 QAE65588 QKA65588 QTW65588 RDS65588 RNO65588 RXK65588 SHG65588 SRC65588 TAY65588 TKU65588 TUQ65588 UEM65588 UOI65588 UYE65588 VIA65588 VRW65588 WBS65588 WLO65588 WVK65588 C131124 IY131124 SU131124 ACQ131124 AMM131124 AWI131124 BGE131124 BQA131124 BZW131124 CJS131124 CTO131124 DDK131124 DNG131124 DXC131124 EGY131124 EQU131124 FAQ131124 FKM131124 FUI131124 GEE131124 GOA131124 GXW131124 HHS131124 HRO131124 IBK131124 ILG131124 IVC131124 JEY131124 JOU131124 JYQ131124 KIM131124 KSI131124 LCE131124 LMA131124 LVW131124 MFS131124 MPO131124 MZK131124 NJG131124 NTC131124 OCY131124 OMU131124 OWQ131124 PGM131124 PQI131124 QAE131124 QKA131124 QTW131124 RDS131124 RNO131124 RXK131124 SHG131124 SRC131124 TAY131124 TKU131124 TUQ131124 UEM131124 UOI131124 UYE131124 VIA131124 VRW131124 WBS131124 WLO131124 WVK131124 C196660 IY196660 SU196660 ACQ196660 AMM196660 AWI196660 BGE196660 BQA196660 BZW196660 CJS196660 CTO196660 DDK196660 DNG196660 DXC196660 EGY196660 EQU196660 FAQ196660 FKM196660 FUI196660 GEE196660 GOA196660 GXW196660 HHS196660 HRO196660 IBK196660 ILG196660 IVC196660 JEY196660 JOU196660 JYQ196660 KIM196660 KSI196660 LCE196660 LMA196660 LVW196660 MFS196660 MPO196660 MZK196660 NJG196660 NTC196660 OCY196660 OMU196660 OWQ196660 PGM196660 PQI196660 QAE196660 QKA196660 QTW196660 RDS196660 RNO196660 RXK196660 SHG196660 SRC196660 TAY196660 TKU196660 TUQ196660 UEM196660 UOI196660 UYE196660 VIA196660 VRW196660 WBS196660 WLO196660 WVK196660 C262196 IY262196 SU262196 ACQ262196 AMM262196 AWI262196 BGE262196 BQA262196 BZW262196 CJS262196 CTO262196 DDK262196 DNG262196 DXC262196 EGY262196 EQU262196 FAQ262196 FKM262196 FUI262196 GEE262196 GOA262196 GXW262196 HHS262196 HRO262196 IBK262196 ILG262196 IVC262196 JEY262196 JOU262196 JYQ262196 KIM262196 KSI262196 LCE262196 LMA262196 LVW262196 MFS262196 MPO262196 MZK262196 NJG262196 NTC262196 OCY262196 OMU262196 OWQ262196 PGM262196 PQI262196 QAE262196 QKA262196 QTW262196 RDS262196 RNO262196 RXK262196 SHG262196 SRC262196 TAY262196 TKU262196 TUQ262196 UEM262196 UOI262196 UYE262196 VIA262196 VRW262196 WBS262196 WLO262196 WVK262196 C327732 IY327732 SU327732 ACQ327732 AMM327732 AWI327732 BGE327732 BQA327732 BZW327732 CJS327732 CTO327732 DDK327732 DNG327732 DXC327732 EGY327732 EQU327732 FAQ327732 FKM327732 FUI327732 GEE327732 GOA327732 GXW327732 HHS327732 HRO327732 IBK327732 ILG327732 IVC327732 JEY327732 JOU327732 JYQ327732 KIM327732 KSI327732 LCE327732 LMA327732 LVW327732 MFS327732 MPO327732 MZK327732 NJG327732 NTC327732 OCY327732 OMU327732 OWQ327732 PGM327732 PQI327732 QAE327732 QKA327732 QTW327732 RDS327732 RNO327732 RXK327732 SHG327732 SRC327732 TAY327732 TKU327732 TUQ327732 UEM327732 UOI327732 UYE327732 VIA327732 VRW327732 WBS327732 WLO327732 WVK327732 C393268 IY393268 SU393268 ACQ393268 AMM393268 AWI393268 BGE393268 BQA393268 BZW393268 CJS393268 CTO393268 DDK393268 DNG393268 DXC393268 EGY393268 EQU393268 FAQ393268 FKM393268 FUI393268 GEE393268 GOA393268 GXW393268 HHS393268 HRO393268 IBK393268 ILG393268 IVC393268 JEY393268 JOU393268 JYQ393268 KIM393268 KSI393268 LCE393268 LMA393268 LVW393268 MFS393268 MPO393268 MZK393268 NJG393268 NTC393268 OCY393268 OMU393268 OWQ393268 PGM393268 PQI393268 QAE393268 QKA393268 QTW393268 RDS393268 RNO393268 RXK393268 SHG393268 SRC393268 TAY393268 TKU393268 TUQ393268 UEM393268 UOI393268 UYE393268 VIA393268 VRW393268 WBS393268 WLO393268 WVK393268 C458804 IY458804 SU458804 ACQ458804 AMM458804 AWI458804 BGE458804 BQA458804 BZW458804 CJS458804 CTO458804 DDK458804 DNG458804 DXC458804 EGY458804 EQU458804 FAQ458804 FKM458804 FUI458804 GEE458804 GOA458804 GXW458804 HHS458804 HRO458804 IBK458804 ILG458804 IVC458804 JEY458804 JOU458804 JYQ458804 KIM458804 KSI458804 LCE458804 LMA458804 LVW458804 MFS458804 MPO458804 MZK458804 NJG458804 NTC458804 OCY458804 OMU458804 OWQ458804 PGM458804 PQI458804 QAE458804 QKA458804 QTW458804 RDS458804 RNO458804 RXK458804 SHG458804 SRC458804 TAY458804 TKU458804 TUQ458804 UEM458804 UOI458804 UYE458804 VIA458804 VRW458804 WBS458804 WLO458804 WVK458804 C524340 IY524340 SU524340 ACQ524340 AMM524340 AWI524340 BGE524340 BQA524340 BZW524340 CJS524340 CTO524340 DDK524340 DNG524340 DXC524340 EGY524340 EQU524340 FAQ524340 FKM524340 FUI524340 GEE524340 GOA524340 GXW524340 HHS524340 HRO524340 IBK524340 ILG524340 IVC524340 JEY524340 JOU524340 JYQ524340 KIM524340 KSI524340 LCE524340 LMA524340 LVW524340 MFS524340 MPO524340 MZK524340 NJG524340 NTC524340 OCY524340 OMU524340 OWQ524340 PGM524340 PQI524340 QAE524340 QKA524340 QTW524340 RDS524340 RNO524340 RXK524340 SHG524340 SRC524340 TAY524340 TKU524340 TUQ524340 UEM524340 UOI524340 UYE524340 VIA524340 VRW524340 WBS524340 WLO524340 WVK524340 C589876 IY589876 SU589876 ACQ589876 AMM589876 AWI589876 BGE589876 BQA589876 BZW589876 CJS589876 CTO589876 DDK589876 DNG589876 DXC589876 EGY589876 EQU589876 FAQ589876 FKM589876 FUI589876 GEE589876 GOA589876 GXW589876 HHS589876 HRO589876 IBK589876 ILG589876 IVC589876 JEY589876 JOU589876 JYQ589876 KIM589876 KSI589876 LCE589876 LMA589876 LVW589876 MFS589876 MPO589876 MZK589876 NJG589876 NTC589876 OCY589876 OMU589876 OWQ589876 PGM589876 PQI589876 QAE589876 QKA589876 QTW589876 RDS589876 RNO589876 RXK589876 SHG589876 SRC589876 TAY589876 TKU589876 TUQ589876 UEM589876 UOI589876 UYE589876 VIA589876 VRW589876 WBS589876 WLO589876 WVK589876 C655412 IY655412 SU655412 ACQ655412 AMM655412 AWI655412 BGE655412 BQA655412 BZW655412 CJS655412 CTO655412 DDK655412 DNG655412 DXC655412 EGY655412 EQU655412 FAQ655412 FKM655412 FUI655412 GEE655412 GOA655412 GXW655412 HHS655412 HRO655412 IBK655412 ILG655412 IVC655412 JEY655412 JOU655412 JYQ655412 KIM655412 KSI655412 LCE655412 LMA655412 LVW655412 MFS655412 MPO655412 MZK655412 NJG655412 NTC655412 OCY655412 OMU655412 OWQ655412 PGM655412 PQI655412 QAE655412 QKA655412 QTW655412 RDS655412 RNO655412 RXK655412 SHG655412 SRC655412 TAY655412 TKU655412 TUQ655412 UEM655412 UOI655412 UYE655412 VIA655412 VRW655412 WBS655412 WLO655412 WVK655412 C720948 IY720948 SU720948 ACQ720948 AMM720948 AWI720948 BGE720948 BQA720948 BZW720948 CJS720948 CTO720948 DDK720948 DNG720948 DXC720948 EGY720948 EQU720948 FAQ720948 FKM720948 FUI720948 GEE720948 GOA720948 GXW720948 HHS720948 HRO720948 IBK720948 ILG720948 IVC720948 JEY720948 JOU720948 JYQ720948 KIM720948 KSI720948 LCE720948 LMA720948 LVW720948 MFS720948 MPO720948 MZK720948 NJG720948 NTC720948 OCY720948 OMU720948 OWQ720948 PGM720948 PQI720948 QAE720948 QKA720948 QTW720948 RDS720948 RNO720948 RXK720948 SHG720948 SRC720948 TAY720948 TKU720948 TUQ720948 UEM720948 UOI720948 UYE720948 VIA720948 VRW720948 WBS720948 WLO720948 WVK720948 C786484 IY786484 SU786484 ACQ786484 AMM786484 AWI786484 BGE786484 BQA786484 BZW786484 CJS786484 CTO786484 DDK786484 DNG786484 DXC786484 EGY786484 EQU786484 FAQ786484 FKM786484 FUI786484 GEE786484 GOA786484 GXW786484 HHS786484 HRO786484 IBK786484 ILG786484 IVC786484 JEY786484 JOU786484 JYQ786484 KIM786484 KSI786484 LCE786484 LMA786484 LVW786484 MFS786484 MPO786484 MZK786484 NJG786484 NTC786484 OCY786484 OMU786484 OWQ786484 PGM786484 PQI786484 QAE786484 QKA786484 QTW786484 RDS786484 RNO786484 RXK786484 SHG786484 SRC786484 TAY786484 TKU786484 TUQ786484 UEM786484 UOI786484 UYE786484 VIA786484 VRW786484 WBS786484 WLO786484 WVK786484 C852020 IY852020 SU852020 ACQ852020 AMM852020 AWI852020 BGE852020 BQA852020 BZW852020 CJS852020 CTO852020 DDK852020 DNG852020 DXC852020 EGY852020 EQU852020 FAQ852020 FKM852020 FUI852020 GEE852020 GOA852020 GXW852020 HHS852020 HRO852020 IBK852020 ILG852020 IVC852020 JEY852020 JOU852020 JYQ852020 KIM852020 KSI852020 LCE852020 LMA852020 LVW852020 MFS852020 MPO852020 MZK852020 NJG852020 NTC852020 OCY852020 OMU852020 OWQ852020 PGM852020 PQI852020 QAE852020 QKA852020 QTW852020 RDS852020 RNO852020 RXK852020 SHG852020 SRC852020 TAY852020 TKU852020 TUQ852020 UEM852020 UOI852020 UYE852020 VIA852020 VRW852020 WBS852020 WLO852020 WVK852020 C917556 IY917556 SU917556 ACQ917556 AMM917556 AWI917556 BGE917556 BQA917556 BZW917556 CJS917556 CTO917556 DDK917556 DNG917556 DXC917556 EGY917556 EQU917556 FAQ917556 FKM917556 FUI917556 GEE917556 GOA917556 GXW917556 HHS917556 HRO917556 IBK917556 ILG917556 IVC917556 JEY917556 JOU917556 JYQ917556 KIM917556 KSI917556 LCE917556 LMA917556 LVW917556 MFS917556 MPO917556 MZK917556 NJG917556 NTC917556 OCY917556 OMU917556 OWQ917556 PGM917556 PQI917556 QAE917556 QKA917556 QTW917556 RDS917556 RNO917556 RXK917556 SHG917556 SRC917556 TAY917556 TKU917556 TUQ917556 UEM917556 UOI917556 UYE917556 VIA917556 VRW917556 WBS917556 WLO917556 WVK917556 C983092 IY983092 SU983092 ACQ983092 AMM983092 AWI983092 BGE983092 BQA983092 BZW983092 CJS983092 CTO983092 DDK983092 DNG983092 DXC983092 EGY983092 EQU983092 FAQ983092 FKM983092 FUI983092 GEE983092 GOA983092 GXW983092 HHS983092 HRO983092 IBK983092 ILG983092 IVC983092 JEY983092 JOU983092 JYQ983092 KIM983092 KSI983092 LCE983092 LMA983092 LVW983092 MFS983092 MPO983092 MZK983092 NJG983092 NTC983092 OCY983092 OMU983092 OWQ983092 PGM983092 PQI983092 QAE983092 QKA983092 QTW983092 RDS983092 RNO983092 RXK983092 SHG983092 SRC983092 TAY983092 TKU983092 TUQ983092 UEM983092 UOI983092 UYE983092 VIA983092 VRW983092 WBS983092 WLO983092 WVK983092 C77 IY77 SU77 ACQ77 AMM77 AWI77 BGE77 BQA77 BZW77 CJS77 CTO77 DDK77 DNG77 DXC77 EGY77 EQU77 FAQ77 FKM77 FUI77 GEE77 GOA77 GXW77 HHS77 HRO77 IBK77 ILG77 IVC77 JEY77 JOU77 JYQ77 KIM77 KSI77 LCE77 LMA77 LVW77 MFS77 MPO77 MZK77 NJG77 NTC77 OCY77 OMU77 OWQ77 PGM77 PQI77 QAE77 QKA77 QTW77 RDS77 RNO77 RXK77 SHG77 SRC77 TAY77 TKU77 TUQ77 UEM77 UOI77 UYE77 VIA77 VRW77 WBS77 WLO77 WVK77 C65590 IY65590 SU65590 ACQ65590 AMM65590 AWI65590 BGE65590 BQA65590 BZW65590 CJS65590 CTO65590 DDK65590 DNG65590 DXC65590 EGY65590 EQU65590 FAQ65590 FKM65590 FUI65590 GEE65590 GOA65590 GXW65590 HHS65590 HRO65590 IBK65590 ILG65590 IVC65590 JEY65590 JOU65590 JYQ65590 KIM65590 KSI65590 LCE65590 LMA65590 LVW65590 MFS65590 MPO65590 MZK65590 NJG65590 NTC65590 OCY65590 OMU65590 OWQ65590 PGM65590 PQI65590 QAE65590 QKA65590 QTW65590 RDS65590 RNO65590 RXK65590 SHG65590 SRC65590 TAY65590 TKU65590 TUQ65590 UEM65590 UOI65590 UYE65590 VIA65590 VRW65590 WBS65590 WLO65590 WVK65590 C131126 IY131126 SU131126 ACQ131126 AMM131126 AWI131126 BGE131126 BQA131126 BZW131126 CJS131126 CTO131126 DDK131126 DNG131126 DXC131126 EGY131126 EQU131126 FAQ131126 FKM131126 FUI131126 GEE131126 GOA131126 GXW131126 HHS131126 HRO131126 IBK131126 ILG131126 IVC131126 JEY131126 JOU131126 JYQ131126 KIM131126 KSI131126 LCE131126 LMA131126 LVW131126 MFS131126 MPO131126 MZK131126 NJG131126 NTC131126 OCY131126 OMU131126 OWQ131126 PGM131126 PQI131126 QAE131126 QKA131126 QTW131126 RDS131126 RNO131126 RXK131126 SHG131126 SRC131126 TAY131126 TKU131126 TUQ131126 UEM131126 UOI131126 UYE131126 VIA131126 VRW131126 WBS131126 WLO131126 WVK131126 C196662 IY196662 SU196662 ACQ196662 AMM196662 AWI196662 BGE196662 BQA196662 BZW196662 CJS196662 CTO196662 DDK196662 DNG196662 DXC196662 EGY196662 EQU196662 FAQ196662 FKM196662 FUI196662 GEE196662 GOA196662 GXW196662 HHS196662 HRO196662 IBK196662 ILG196662 IVC196662 JEY196662 JOU196662 JYQ196662 KIM196662 KSI196662 LCE196662 LMA196662 LVW196662 MFS196662 MPO196662 MZK196662 NJG196662 NTC196662 OCY196662 OMU196662 OWQ196662 PGM196662 PQI196662 QAE196662 QKA196662 QTW196662 RDS196662 RNO196662 RXK196662 SHG196662 SRC196662 TAY196662 TKU196662 TUQ196662 UEM196662 UOI196662 UYE196662 VIA196662 VRW196662 WBS196662 WLO196662 WVK196662 C262198 IY262198 SU262198 ACQ262198 AMM262198 AWI262198 BGE262198 BQA262198 BZW262198 CJS262198 CTO262198 DDK262198 DNG262198 DXC262198 EGY262198 EQU262198 FAQ262198 FKM262198 FUI262198 GEE262198 GOA262198 GXW262198 HHS262198 HRO262198 IBK262198 ILG262198 IVC262198 JEY262198 JOU262198 JYQ262198 KIM262198 KSI262198 LCE262198 LMA262198 LVW262198 MFS262198 MPO262198 MZK262198 NJG262198 NTC262198 OCY262198 OMU262198 OWQ262198 PGM262198 PQI262198 QAE262198 QKA262198 QTW262198 RDS262198 RNO262198 RXK262198 SHG262198 SRC262198 TAY262198 TKU262198 TUQ262198 UEM262198 UOI262198 UYE262198 VIA262198 VRW262198 WBS262198 WLO262198 WVK262198 C327734 IY327734 SU327734 ACQ327734 AMM327734 AWI327734 BGE327734 BQA327734 BZW327734 CJS327734 CTO327734 DDK327734 DNG327734 DXC327734 EGY327734 EQU327734 FAQ327734 FKM327734 FUI327734 GEE327734 GOA327734 GXW327734 HHS327734 HRO327734 IBK327734 ILG327734 IVC327734 JEY327734 JOU327734 JYQ327734 KIM327734 KSI327734 LCE327734 LMA327734 LVW327734 MFS327734 MPO327734 MZK327734 NJG327734 NTC327734 OCY327734 OMU327734 OWQ327734 PGM327734 PQI327734 QAE327734 QKA327734 QTW327734 RDS327734 RNO327734 RXK327734 SHG327734 SRC327734 TAY327734 TKU327734 TUQ327734 UEM327734 UOI327734 UYE327734 VIA327734 VRW327734 WBS327734 WLO327734 WVK327734 C393270 IY393270 SU393270 ACQ393270 AMM393270 AWI393270 BGE393270 BQA393270 BZW393270 CJS393270 CTO393270 DDK393270 DNG393270 DXC393270 EGY393270 EQU393270 FAQ393270 FKM393270 FUI393270 GEE393270 GOA393270 GXW393270 HHS393270 HRO393270 IBK393270 ILG393270 IVC393270 JEY393270 JOU393270 JYQ393270 KIM393270 KSI393270 LCE393270 LMA393270 LVW393270 MFS393270 MPO393270 MZK393270 NJG393270 NTC393270 OCY393270 OMU393270 OWQ393270 PGM393270 PQI393270 QAE393270 QKA393270 QTW393270 RDS393270 RNO393270 RXK393270 SHG393270 SRC393270 TAY393270 TKU393270 TUQ393270 UEM393270 UOI393270 UYE393270 VIA393270 VRW393270 WBS393270 WLO393270 WVK393270 C458806 IY458806 SU458806 ACQ458806 AMM458806 AWI458806 BGE458806 BQA458806 BZW458806 CJS458806 CTO458806 DDK458806 DNG458806 DXC458806 EGY458806 EQU458806 FAQ458806 FKM458806 FUI458806 GEE458806 GOA458806 GXW458806 HHS458806 HRO458806 IBK458806 ILG458806 IVC458806 JEY458806 JOU458806 JYQ458806 KIM458806 KSI458806 LCE458806 LMA458806 LVW458806 MFS458806 MPO458806 MZK458806 NJG458806 NTC458806 OCY458806 OMU458806 OWQ458806 PGM458806 PQI458806 QAE458806 QKA458806 QTW458806 RDS458806 RNO458806 RXK458806 SHG458806 SRC458806 TAY458806 TKU458806 TUQ458806 UEM458806 UOI458806 UYE458806 VIA458806 VRW458806 WBS458806 WLO458806 WVK458806 C524342 IY524342 SU524342 ACQ524342 AMM524342 AWI524342 BGE524342 BQA524342 BZW524342 CJS524342 CTO524342 DDK524342 DNG524342 DXC524342 EGY524342 EQU524342 FAQ524342 FKM524342 FUI524342 GEE524342 GOA524342 GXW524342 HHS524342 HRO524342 IBK524342 ILG524342 IVC524342 JEY524342 JOU524342 JYQ524342 KIM524342 KSI524342 LCE524342 LMA524342 LVW524342 MFS524342 MPO524342 MZK524342 NJG524342 NTC524342 OCY524342 OMU524342 OWQ524342 PGM524342 PQI524342 QAE524342 QKA524342 QTW524342 RDS524342 RNO524342 RXK524342 SHG524342 SRC524342 TAY524342 TKU524342 TUQ524342 UEM524342 UOI524342 UYE524342 VIA524342 VRW524342 WBS524342 WLO524342 WVK524342 C589878 IY589878 SU589878 ACQ589878 AMM589878 AWI589878 BGE589878 BQA589878 BZW589878 CJS589878 CTO589878 DDK589878 DNG589878 DXC589878 EGY589878 EQU589878 FAQ589878 FKM589878 FUI589878 GEE589878 GOA589878 GXW589878 HHS589878 HRO589878 IBK589878 ILG589878 IVC589878 JEY589878 JOU589878 JYQ589878 KIM589878 KSI589878 LCE589878 LMA589878 LVW589878 MFS589878 MPO589878 MZK589878 NJG589878 NTC589878 OCY589878 OMU589878 OWQ589878 PGM589878 PQI589878 QAE589878 QKA589878 QTW589878 RDS589878 RNO589878 RXK589878 SHG589878 SRC589878 TAY589878 TKU589878 TUQ589878 UEM589878 UOI589878 UYE589878 VIA589878 VRW589878 WBS589878 WLO589878 WVK589878 C655414 IY655414 SU655414 ACQ655414 AMM655414 AWI655414 BGE655414 BQA655414 BZW655414 CJS655414 CTO655414 DDK655414 DNG655414 DXC655414 EGY655414 EQU655414 FAQ655414 FKM655414 FUI655414 GEE655414 GOA655414 GXW655414 HHS655414 HRO655414 IBK655414 ILG655414 IVC655414 JEY655414 JOU655414 JYQ655414 KIM655414 KSI655414 LCE655414 LMA655414 LVW655414 MFS655414 MPO655414 MZK655414 NJG655414 NTC655414 OCY655414 OMU655414 OWQ655414 PGM655414 PQI655414 QAE655414 QKA655414 QTW655414 RDS655414 RNO655414 RXK655414 SHG655414 SRC655414 TAY655414 TKU655414 TUQ655414 UEM655414 UOI655414 UYE655414 VIA655414 VRW655414 WBS655414 WLO655414 WVK655414 C720950 IY720950 SU720950 ACQ720950 AMM720950 AWI720950 BGE720950 BQA720950 BZW720950 CJS720950 CTO720950 DDK720950 DNG720950 DXC720950 EGY720950 EQU720950 FAQ720950 FKM720950 FUI720950 GEE720950 GOA720950 GXW720950 HHS720950 HRO720950 IBK720950 ILG720950 IVC720950 JEY720950 JOU720950 JYQ720950 KIM720950 KSI720950 LCE720950 LMA720950 LVW720950 MFS720950 MPO720950 MZK720950 NJG720950 NTC720950 OCY720950 OMU720950 OWQ720950 PGM720950 PQI720950 QAE720950 QKA720950 QTW720950 RDS720950 RNO720950 RXK720950 SHG720950 SRC720950 TAY720950 TKU720950 TUQ720950 UEM720950 UOI720950 UYE720950 VIA720950 VRW720950 WBS720950 WLO720950 WVK720950 C786486 IY786486 SU786486 ACQ786486 AMM786486 AWI786486 BGE786486 BQA786486 BZW786486 CJS786486 CTO786486 DDK786486 DNG786486 DXC786486 EGY786486 EQU786486 FAQ786486 FKM786486 FUI786486 GEE786486 GOA786486 GXW786486 HHS786486 HRO786486 IBK786486 ILG786486 IVC786486 JEY786486 JOU786486 JYQ786486 KIM786486 KSI786486 LCE786486 LMA786486 LVW786486 MFS786486 MPO786486 MZK786486 NJG786486 NTC786486 OCY786486 OMU786486 OWQ786486 PGM786486 PQI786486 QAE786486 QKA786486 QTW786486 RDS786486 RNO786486 RXK786486 SHG786486 SRC786486 TAY786486 TKU786486 TUQ786486 UEM786486 UOI786486 UYE786486 VIA786486 VRW786486 WBS786486 WLO786486 WVK786486 C852022 IY852022 SU852022 ACQ852022 AMM852022 AWI852022 BGE852022 BQA852022 BZW852022 CJS852022 CTO852022 DDK852022 DNG852022 DXC852022 EGY852022 EQU852022 FAQ852022 FKM852022 FUI852022 GEE852022 GOA852022 GXW852022 HHS852022 HRO852022 IBK852022 ILG852022 IVC852022 JEY852022 JOU852022 JYQ852022 KIM852022 KSI852022 LCE852022 LMA852022 LVW852022 MFS852022 MPO852022 MZK852022 NJG852022 NTC852022 OCY852022 OMU852022 OWQ852022 PGM852022 PQI852022 QAE852022 QKA852022 QTW852022 RDS852022 RNO852022 RXK852022 SHG852022 SRC852022 TAY852022 TKU852022 TUQ852022 UEM852022 UOI852022 UYE852022 VIA852022 VRW852022 WBS852022 WLO852022 WVK852022 C917558 IY917558 SU917558 ACQ917558 AMM917558 AWI917558 BGE917558 BQA917558 BZW917558 CJS917558 CTO917558 DDK917558 DNG917558 DXC917558 EGY917558 EQU917558 FAQ917558 FKM917558 FUI917558 GEE917558 GOA917558 GXW917558 HHS917558 HRO917558 IBK917558 ILG917558 IVC917558 JEY917558 JOU917558 JYQ917558 KIM917558 KSI917558 LCE917558 LMA917558 LVW917558 MFS917558 MPO917558 MZK917558 NJG917558 NTC917558 OCY917558 OMU917558 OWQ917558 PGM917558 PQI917558 QAE917558 QKA917558 QTW917558 RDS917558 RNO917558 RXK917558 SHG917558 SRC917558 TAY917558 TKU917558 TUQ917558 UEM917558 UOI917558 UYE917558 VIA917558 VRW917558 WBS917558 WLO917558 WVK917558 C983094 IY983094 SU983094 ACQ983094 AMM983094 AWI983094 BGE983094 BQA983094 BZW983094 CJS983094 CTO983094 DDK983094 DNG983094 DXC983094 EGY983094 EQU983094 FAQ983094 FKM983094 FUI983094 GEE983094 GOA983094 GXW983094 HHS983094 HRO983094 IBK983094 ILG983094 IVC983094 JEY983094 JOU983094 JYQ983094 KIM983094 KSI983094 LCE983094 LMA983094 LVW983094 MFS983094 MPO983094 MZK983094 NJG983094 NTC983094 OCY983094 OMU983094 OWQ983094 PGM983094 PQI983094 QAE983094 QKA983094 QTW983094 RDS983094 RNO983094 RXK983094 SHG983094 SRC983094 TAY983094 TKU983094 TUQ983094 UEM983094 UOI983094 UYE983094 VIA983094 VRW983094 WBS983094 WLO983094 WVK983094 C79 IY79 SU79 ACQ79 AMM79 AWI79 BGE79 BQA79 BZW79 CJS79 CTO79 DDK79 DNG79 DXC79 EGY79 EQU79 FAQ79 FKM79 FUI79 GEE79 GOA79 GXW79 HHS79 HRO79 IBK79 ILG79 IVC79 JEY79 JOU79 JYQ79 KIM79 KSI79 LCE79 LMA79 LVW79 MFS79 MPO79 MZK79 NJG79 NTC79 OCY79 OMU79 OWQ79 PGM79 PQI79 QAE79 QKA79 QTW79 RDS79 RNO79 RXK79 SHG79 SRC79 TAY79 TKU79 TUQ79 UEM79 UOI79 UYE79 VIA79 VRW79 WBS79 WLO79 WVK79 C65592 IY65592 SU65592 ACQ65592 AMM65592 AWI65592 BGE65592 BQA65592 BZW65592 CJS65592 CTO65592 DDK65592 DNG65592 DXC65592 EGY65592 EQU65592 FAQ65592 FKM65592 FUI65592 GEE65592 GOA65592 GXW65592 HHS65592 HRO65592 IBK65592 ILG65592 IVC65592 JEY65592 JOU65592 JYQ65592 KIM65592 KSI65592 LCE65592 LMA65592 LVW65592 MFS65592 MPO65592 MZK65592 NJG65592 NTC65592 OCY65592 OMU65592 OWQ65592 PGM65592 PQI65592 QAE65592 QKA65592 QTW65592 RDS65592 RNO65592 RXK65592 SHG65592 SRC65592 TAY65592 TKU65592 TUQ65592 UEM65592 UOI65592 UYE65592 VIA65592 VRW65592 WBS65592 WLO65592 WVK65592 C131128 IY131128 SU131128 ACQ131128 AMM131128 AWI131128 BGE131128 BQA131128 BZW131128 CJS131128 CTO131128 DDK131128 DNG131128 DXC131128 EGY131128 EQU131128 FAQ131128 FKM131128 FUI131128 GEE131128 GOA131128 GXW131128 HHS131128 HRO131128 IBK131128 ILG131128 IVC131128 JEY131128 JOU131128 JYQ131128 KIM131128 KSI131128 LCE131128 LMA131128 LVW131128 MFS131128 MPO131128 MZK131128 NJG131128 NTC131128 OCY131128 OMU131128 OWQ131128 PGM131128 PQI131128 QAE131128 QKA131128 QTW131128 RDS131128 RNO131128 RXK131128 SHG131128 SRC131128 TAY131128 TKU131128 TUQ131128 UEM131128 UOI131128 UYE131128 VIA131128 VRW131128 WBS131128 WLO131128 WVK131128 C196664 IY196664 SU196664 ACQ196664 AMM196664 AWI196664 BGE196664 BQA196664 BZW196664 CJS196664 CTO196664 DDK196664 DNG196664 DXC196664 EGY196664 EQU196664 FAQ196664 FKM196664 FUI196664 GEE196664 GOA196664 GXW196664 HHS196664 HRO196664 IBK196664 ILG196664 IVC196664 JEY196664 JOU196664 JYQ196664 KIM196664 KSI196664 LCE196664 LMA196664 LVW196664 MFS196664 MPO196664 MZK196664 NJG196664 NTC196664 OCY196664 OMU196664 OWQ196664 PGM196664 PQI196664 QAE196664 QKA196664 QTW196664 RDS196664 RNO196664 RXK196664 SHG196664 SRC196664 TAY196664 TKU196664 TUQ196664 UEM196664 UOI196664 UYE196664 VIA196664 VRW196664 WBS196664 WLO196664 WVK196664 C262200 IY262200 SU262200 ACQ262200 AMM262200 AWI262200 BGE262200 BQA262200 BZW262200 CJS262200 CTO262200 DDK262200 DNG262200 DXC262200 EGY262200 EQU262200 FAQ262200 FKM262200 FUI262200 GEE262200 GOA262200 GXW262200 HHS262200 HRO262200 IBK262200 ILG262200 IVC262200 JEY262200 JOU262200 JYQ262200 KIM262200 KSI262200 LCE262200 LMA262200 LVW262200 MFS262200 MPO262200 MZK262200 NJG262200 NTC262200 OCY262200 OMU262200 OWQ262200 PGM262200 PQI262200 QAE262200 QKA262200 QTW262200 RDS262200 RNO262200 RXK262200 SHG262200 SRC262200 TAY262200 TKU262200 TUQ262200 UEM262200 UOI262200 UYE262200 VIA262200 VRW262200 WBS262200 WLO262200 WVK262200 C327736 IY327736 SU327736 ACQ327736 AMM327736 AWI327736 BGE327736 BQA327736 BZW327736 CJS327736 CTO327736 DDK327736 DNG327736 DXC327736 EGY327736 EQU327736 FAQ327736 FKM327736 FUI327736 GEE327736 GOA327736 GXW327736 HHS327736 HRO327736 IBK327736 ILG327736 IVC327736 JEY327736 JOU327736 JYQ327736 KIM327736 KSI327736 LCE327736 LMA327736 LVW327736 MFS327736 MPO327736 MZK327736 NJG327736 NTC327736 OCY327736 OMU327736 OWQ327736 PGM327736 PQI327736 QAE327736 QKA327736 QTW327736 RDS327736 RNO327736 RXK327736 SHG327736 SRC327736 TAY327736 TKU327736 TUQ327736 UEM327736 UOI327736 UYE327736 VIA327736 VRW327736 WBS327736 WLO327736 WVK327736 C393272 IY393272 SU393272 ACQ393272 AMM393272 AWI393272 BGE393272 BQA393272 BZW393272 CJS393272 CTO393272 DDK393272 DNG393272 DXC393272 EGY393272 EQU393272 FAQ393272 FKM393272 FUI393272 GEE393272 GOA393272 GXW393272 HHS393272 HRO393272 IBK393272 ILG393272 IVC393272 JEY393272 JOU393272 JYQ393272 KIM393272 KSI393272 LCE393272 LMA393272 LVW393272 MFS393272 MPO393272 MZK393272 NJG393272 NTC393272 OCY393272 OMU393272 OWQ393272 PGM393272 PQI393272 QAE393272 QKA393272 QTW393272 RDS393272 RNO393272 RXK393272 SHG393272 SRC393272 TAY393272 TKU393272 TUQ393272 UEM393272 UOI393272 UYE393272 VIA393272 VRW393272 WBS393272 WLO393272 WVK393272 C458808 IY458808 SU458808 ACQ458808 AMM458808 AWI458808 BGE458808 BQA458808 BZW458808 CJS458808 CTO458808 DDK458808 DNG458808 DXC458808 EGY458808 EQU458808 FAQ458808 FKM458808 FUI458808 GEE458808 GOA458808 GXW458808 HHS458808 HRO458808 IBK458808 ILG458808 IVC458808 JEY458808 JOU458808 JYQ458808 KIM458808 KSI458808 LCE458808 LMA458808 LVW458808 MFS458808 MPO458808 MZK458808 NJG458808 NTC458808 OCY458808 OMU458808 OWQ458808 PGM458808 PQI458808 QAE458808 QKA458808 QTW458808 RDS458808 RNO458808 RXK458808 SHG458808 SRC458808 TAY458808 TKU458808 TUQ458808 UEM458808 UOI458808 UYE458808 VIA458808 VRW458808 WBS458808 WLO458808 WVK458808 C524344 IY524344 SU524344 ACQ524344 AMM524344 AWI524344 BGE524344 BQA524344 BZW524344 CJS524344 CTO524344 DDK524344 DNG524344 DXC524344 EGY524344 EQU524344 FAQ524344 FKM524344 FUI524344 GEE524344 GOA524344 GXW524344 HHS524344 HRO524344 IBK524344 ILG524344 IVC524344 JEY524344 JOU524344 JYQ524344 KIM524344 KSI524344 LCE524344 LMA524344 LVW524344 MFS524344 MPO524344 MZK524344 NJG524344 NTC524344 OCY524344 OMU524344 OWQ524344 PGM524344 PQI524344 QAE524344 QKA524344 QTW524344 RDS524344 RNO524344 RXK524344 SHG524344 SRC524344 TAY524344 TKU524344 TUQ524344 UEM524344 UOI524344 UYE524344 VIA524344 VRW524344 WBS524344 WLO524344 WVK524344 C589880 IY589880 SU589880 ACQ589880 AMM589880 AWI589880 BGE589880 BQA589880 BZW589880 CJS589880 CTO589880 DDK589880 DNG589880 DXC589880 EGY589880 EQU589880 FAQ589880 FKM589880 FUI589880 GEE589880 GOA589880 GXW589880 HHS589880 HRO589880 IBK589880 ILG589880 IVC589880 JEY589880 JOU589880 JYQ589880 KIM589880 KSI589880 LCE589880 LMA589880 LVW589880 MFS589880 MPO589880 MZK589880 NJG589880 NTC589880 OCY589880 OMU589880 OWQ589880 PGM589880 PQI589880 QAE589880 QKA589880 QTW589880 RDS589880 RNO589880 RXK589880 SHG589880 SRC589880 TAY589880 TKU589880 TUQ589880 UEM589880 UOI589880 UYE589880 VIA589880 VRW589880 WBS589880 WLO589880 WVK589880 C655416 IY655416 SU655416 ACQ655416 AMM655416 AWI655416 BGE655416 BQA655416 BZW655416 CJS655416 CTO655416 DDK655416 DNG655416 DXC655416 EGY655416 EQU655416 FAQ655416 FKM655416 FUI655416 GEE655416 GOA655416 GXW655416 HHS655416 HRO655416 IBK655416 ILG655416 IVC655416 JEY655416 JOU655416 JYQ655416 KIM655416 KSI655416 LCE655416 LMA655416 LVW655416 MFS655416 MPO655416 MZK655416 NJG655416 NTC655416 OCY655416 OMU655416 OWQ655416 PGM655416 PQI655416 QAE655416 QKA655416 QTW655416 RDS655416 RNO655416 RXK655416 SHG655416 SRC655416 TAY655416 TKU655416 TUQ655416 UEM655416 UOI655416 UYE655416 VIA655416 VRW655416 WBS655416 WLO655416 WVK655416 C720952 IY720952 SU720952 ACQ720952 AMM720952 AWI720952 BGE720952 BQA720952 BZW720952 CJS720952 CTO720952 DDK720952 DNG720952 DXC720952 EGY720952 EQU720952 FAQ720952 FKM720952 FUI720952 GEE720952 GOA720952 GXW720952 HHS720952 HRO720952 IBK720952 ILG720952 IVC720952 JEY720952 JOU720952 JYQ720952 KIM720952 KSI720952 LCE720952 LMA720952 LVW720952 MFS720952 MPO720952 MZK720952 NJG720952 NTC720952 OCY720952 OMU720952 OWQ720952 PGM720952 PQI720952 QAE720952 QKA720952 QTW720952 RDS720952 RNO720952 RXK720952 SHG720952 SRC720952 TAY720952 TKU720952 TUQ720952 UEM720952 UOI720952 UYE720952 VIA720952 VRW720952 WBS720952 WLO720952 WVK720952 C786488 IY786488 SU786488 ACQ786488 AMM786488 AWI786488 BGE786488 BQA786488 BZW786488 CJS786488 CTO786488 DDK786488 DNG786488 DXC786488 EGY786488 EQU786488 FAQ786488 FKM786488 FUI786488 GEE786488 GOA786488 GXW786488 HHS786488 HRO786488 IBK786488 ILG786488 IVC786488 JEY786488 JOU786488 JYQ786488 KIM786488 KSI786488 LCE786488 LMA786488 LVW786488 MFS786488 MPO786488 MZK786488 NJG786488 NTC786488 OCY786488 OMU786488 OWQ786488 PGM786488 PQI786488 QAE786488 QKA786488 QTW786488 RDS786488 RNO786488 RXK786488 SHG786488 SRC786488 TAY786488 TKU786488 TUQ786488 UEM786488 UOI786488 UYE786488 VIA786488 VRW786488 WBS786488 WLO786488 WVK786488 C852024 IY852024 SU852024 ACQ852024 AMM852024 AWI852024 BGE852024 BQA852024 BZW852024 CJS852024 CTO852024 DDK852024 DNG852024 DXC852024 EGY852024 EQU852024 FAQ852024 FKM852024 FUI852024 GEE852024 GOA852024 GXW852024 HHS852024 HRO852024 IBK852024 ILG852024 IVC852024 JEY852024 JOU852024 JYQ852024 KIM852024 KSI852024 LCE852024 LMA852024 LVW852024 MFS852024 MPO852024 MZK852024 NJG852024 NTC852024 OCY852024 OMU852024 OWQ852024 PGM852024 PQI852024 QAE852024 QKA852024 QTW852024 RDS852024 RNO852024 RXK852024 SHG852024 SRC852024 TAY852024 TKU852024 TUQ852024 UEM852024 UOI852024 UYE852024 VIA852024 VRW852024 WBS852024 WLO852024 WVK852024 C917560 IY917560 SU917560 ACQ917560 AMM917560 AWI917560 BGE917560 BQA917560 BZW917560 CJS917560 CTO917560 DDK917560 DNG917560 DXC917560 EGY917560 EQU917560 FAQ917560 FKM917560 FUI917560 GEE917560 GOA917560 GXW917560 HHS917560 HRO917560 IBK917560 ILG917560 IVC917560 JEY917560 JOU917560 JYQ917560 KIM917560 KSI917560 LCE917560 LMA917560 LVW917560 MFS917560 MPO917560 MZK917560 NJG917560 NTC917560 OCY917560 OMU917560 OWQ917560 PGM917560 PQI917560 QAE917560 QKA917560 QTW917560 RDS917560 RNO917560 RXK917560 SHG917560 SRC917560 TAY917560 TKU917560 TUQ917560 UEM917560 UOI917560 UYE917560 VIA917560 VRW917560 WBS917560 WLO917560 WVK917560 C983096 IY983096 SU983096 ACQ983096 AMM983096 AWI983096 BGE983096 BQA983096 BZW983096 CJS983096 CTO983096 DDK983096 DNG983096 DXC983096 EGY983096 EQU983096 FAQ983096 FKM983096 FUI983096 GEE983096 GOA983096 GXW983096 HHS983096 HRO983096 IBK983096 ILG983096 IVC983096 JEY983096 JOU983096 JYQ983096 KIM983096 KSI983096 LCE983096 LMA983096 LVW983096 MFS983096 MPO983096 MZK983096 NJG983096 NTC983096 OCY983096 OMU983096 OWQ983096 PGM983096 PQI983096 QAE983096 QKA983096 QTW983096 RDS983096 RNO983096 RXK983096 SHG983096 SRC983096 TAY983096 TKU983096 TUQ983096 UEM983096 UOI983096 UYE983096 VIA983096 VRW983096 WBS983096 WLO983096 WVK983096 C143 IY143 SU143 ACQ143 AMM143 AWI143 BGE143 BQA143 BZW143 CJS143 CTO143 DDK143 DNG143 DXC143 EGY143 EQU143 FAQ143 FKM143 FUI143 GEE143 GOA143 GXW143 HHS143 HRO143 IBK143 ILG143 IVC143 JEY143 JOU143 JYQ143 KIM143 KSI143 LCE143 LMA143 LVW143 MFS143 MPO143 MZK143 NJG143 NTC143 OCY143 OMU143 OWQ143 PGM143 PQI143 QAE143 QKA143 QTW143 RDS143 RNO143 RXK143 SHG143 SRC143 TAY143 TKU143 TUQ143 UEM143 UOI143 UYE143 VIA143 VRW143 WBS143 WLO143 WVK143 C65656 IY65656 SU65656 ACQ65656 AMM65656 AWI65656 BGE65656 BQA65656 BZW65656 CJS65656 CTO65656 DDK65656 DNG65656 DXC65656 EGY65656 EQU65656 FAQ65656 FKM65656 FUI65656 GEE65656 GOA65656 GXW65656 HHS65656 HRO65656 IBK65656 ILG65656 IVC65656 JEY65656 JOU65656 JYQ65656 KIM65656 KSI65656 LCE65656 LMA65656 LVW65656 MFS65656 MPO65656 MZK65656 NJG65656 NTC65656 OCY65656 OMU65656 OWQ65656 PGM65656 PQI65656 QAE65656 QKA65656 QTW65656 RDS65656 RNO65656 RXK65656 SHG65656 SRC65656 TAY65656 TKU65656 TUQ65656 UEM65656 UOI65656 UYE65656 VIA65656 VRW65656 WBS65656 WLO65656 WVK65656 C131192 IY131192 SU131192 ACQ131192 AMM131192 AWI131192 BGE131192 BQA131192 BZW131192 CJS131192 CTO131192 DDK131192 DNG131192 DXC131192 EGY131192 EQU131192 FAQ131192 FKM131192 FUI131192 GEE131192 GOA131192 GXW131192 HHS131192 HRO131192 IBK131192 ILG131192 IVC131192 JEY131192 JOU131192 JYQ131192 KIM131192 KSI131192 LCE131192 LMA131192 LVW131192 MFS131192 MPO131192 MZK131192 NJG131192 NTC131192 OCY131192 OMU131192 OWQ131192 PGM131192 PQI131192 QAE131192 QKA131192 QTW131192 RDS131192 RNO131192 RXK131192 SHG131192 SRC131192 TAY131192 TKU131192 TUQ131192 UEM131192 UOI131192 UYE131192 VIA131192 VRW131192 WBS131192 WLO131192 WVK131192 C196728 IY196728 SU196728 ACQ196728 AMM196728 AWI196728 BGE196728 BQA196728 BZW196728 CJS196728 CTO196728 DDK196728 DNG196728 DXC196728 EGY196728 EQU196728 FAQ196728 FKM196728 FUI196728 GEE196728 GOA196728 GXW196728 HHS196728 HRO196728 IBK196728 ILG196728 IVC196728 JEY196728 JOU196728 JYQ196728 KIM196728 KSI196728 LCE196728 LMA196728 LVW196728 MFS196728 MPO196728 MZK196728 NJG196728 NTC196728 OCY196728 OMU196728 OWQ196728 PGM196728 PQI196728 QAE196728 QKA196728 QTW196728 RDS196728 RNO196728 RXK196728 SHG196728 SRC196728 TAY196728 TKU196728 TUQ196728 UEM196728 UOI196728 UYE196728 VIA196728 VRW196728 WBS196728 WLO196728 WVK196728 C262264 IY262264 SU262264 ACQ262264 AMM262264 AWI262264 BGE262264 BQA262264 BZW262264 CJS262264 CTO262264 DDK262264 DNG262264 DXC262264 EGY262264 EQU262264 FAQ262264 FKM262264 FUI262264 GEE262264 GOA262264 GXW262264 HHS262264 HRO262264 IBK262264 ILG262264 IVC262264 JEY262264 JOU262264 JYQ262264 KIM262264 KSI262264 LCE262264 LMA262264 LVW262264 MFS262264 MPO262264 MZK262264 NJG262264 NTC262264 OCY262264 OMU262264 OWQ262264 PGM262264 PQI262264 QAE262264 QKA262264 QTW262264 RDS262264 RNO262264 RXK262264 SHG262264 SRC262264 TAY262264 TKU262264 TUQ262264 UEM262264 UOI262264 UYE262264 VIA262264 VRW262264 WBS262264 WLO262264 WVK262264 C327800 IY327800 SU327800 ACQ327800 AMM327800 AWI327800 BGE327800 BQA327800 BZW327800 CJS327800 CTO327800 DDK327800 DNG327800 DXC327800 EGY327800 EQU327800 FAQ327800 FKM327800 FUI327800 GEE327800 GOA327800 GXW327800 HHS327800 HRO327800 IBK327800 ILG327800 IVC327800 JEY327800 JOU327800 JYQ327800 KIM327800 KSI327800 LCE327800 LMA327800 LVW327800 MFS327800 MPO327800 MZK327800 NJG327800 NTC327800 OCY327800 OMU327800 OWQ327800 PGM327800 PQI327800 QAE327800 QKA327800 QTW327800 RDS327800 RNO327800 RXK327800 SHG327800 SRC327800 TAY327800 TKU327800 TUQ327800 UEM327800 UOI327800 UYE327800 VIA327800 VRW327800 WBS327800 WLO327800 WVK327800 C393336 IY393336 SU393336 ACQ393336 AMM393336 AWI393336 BGE393336 BQA393336 BZW393336 CJS393336 CTO393336 DDK393336 DNG393336 DXC393336 EGY393336 EQU393336 FAQ393336 FKM393336 FUI393336 GEE393336 GOA393336 GXW393336 HHS393336 HRO393336 IBK393336 ILG393336 IVC393336 JEY393336 JOU393336 JYQ393336 KIM393336 KSI393336 LCE393336 LMA393336 LVW393336 MFS393336 MPO393336 MZK393336 NJG393336 NTC393336 OCY393336 OMU393336 OWQ393336 PGM393336 PQI393336 QAE393336 QKA393336 QTW393336 RDS393336 RNO393336 RXK393336 SHG393336 SRC393336 TAY393336 TKU393336 TUQ393336 UEM393336 UOI393336 UYE393336 VIA393336 VRW393336 WBS393336 WLO393336 WVK393336 C458872 IY458872 SU458872 ACQ458872 AMM458872 AWI458872 BGE458872 BQA458872 BZW458872 CJS458872 CTO458872 DDK458872 DNG458872 DXC458872 EGY458872 EQU458872 FAQ458872 FKM458872 FUI458872 GEE458872 GOA458872 GXW458872 HHS458872 HRO458872 IBK458872 ILG458872 IVC458872 JEY458872 JOU458872 JYQ458872 KIM458872 KSI458872 LCE458872 LMA458872 LVW458872 MFS458872 MPO458872 MZK458872 NJG458872 NTC458872 OCY458872 OMU458872 OWQ458872 PGM458872 PQI458872 QAE458872 QKA458872 QTW458872 RDS458872 RNO458872 RXK458872 SHG458872 SRC458872 TAY458872 TKU458872 TUQ458872 UEM458872 UOI458872 UYE458872 VIA458872 VRW458872 WBS458872 WLO458872 WVK458872 C524408 IY524408 SU524408 ACQ524408 AMM524408 AWI524408 BGE524408 BQA524408 BZW524408 CJS524408 CTO524408 DDK524408 DNG524408 DXC524408 EGY524408 EQU524408 FAQ524408 FKM524408 FUI524408 GEE524408 GOA524408 GXW524408 HHS524408 HRO524408 IBK524408 ILG524408 IVC524408 JEY524408 JOU524408 JYQ524408 KIM524408 KSI524408 LCE524408 LMA524408 LVW524408 MFS524408 MPO524408 MZK524408 NJG524408 NTC524408 OCY524408 OMU524408 OWQ524408 PGM524408 PQI524408 QAE524408 QKA524408 QTW524408 RDS524408 RNO524408 RXK524408 SHG524408 SRC524408 TAY524408 TKU524408 TUQ524408 UEM524408 UOI524408 UYE524408 VIA524408 VRW524408 WBS524408 WLO524408 WVK524408 C589944 IY589944 SU589944 ACQ589944 AMM589944 AWI589944 BGE589944 BQA589944 BZW589944 CJS589944 CTO589944 DDK589944 DNG589944 DXC589944 EGY589944 EQU589944 FAQ589944 FKM589944 FUI589944 GEE589944 GOA589944 GXW589944 HHS589944 HRO589944 IBK589944 ILG589944 IVC589944 JEY589944 JOU589944 JYQ589944 KIM589944 KSI589944 LCE589944 LMA589944 LVW589944 MFS589944 MPO589944 MZK589944 NJG589944 NTC589944 OCY589944 OMU589944 OWQ589944 PGM589944 PQI589944 QAE589944 QKA589944 QTW589944 RDS589944 RNO589944 RXK589944 SHG589944 SRC589944 TAY589944 TKU589944 TUQ589944 UEM589944 UOI589944 UYE589944 VIA589944 VRW589944 WBS589944 WLO589944 WVK589944 C655480 IY655480 SU655480 ACQ655480 AMM655480 AWI655480 BGE655480 BQA655480 BZW655480 CJS655480 CTO655480 DDK655480 DNG655480 DXC655480 EGY655480 EQU655480 FAQ655480 FKM655480 FUI655480 GEE655480 GOA655480 GXW655480 HHS655480 HRO655480 IBK655480 ILG655480 IVC655480 JEY655480 JOU655480 JYQ655480 KIM655480 KSI655480 LCE655480 LMA655480 LVW655480 MFS655480 MPO655480 MZK655480 NJG655480 NTC655480 OCY655480 OMU655480 OWQ655480 PGM655480 PQI655480 QAE655480 QKA655480 QTW655480 RDS655480 RNO655480 RXK655480 SHG655480 SRC655480 TAY655480 TKU655480 TUQ655480 UEM655480 UOI655480 UYE655480 VIA655480 VRW655480 WBS655480 WLO655480 WVK655480 C721016 IY721016 SU721016 ACQ721016 AMM721016 AWI721016 BGE721016 BQA721016 BZW721016 CJS721016 CTO721016 DDK721016 DNG721016 DXC721016 EGY721016 EQU721016 FAQ721016 FKM721016 FUI721016 GEE721016 GOA721016 GXW721016 HHS721016 HRO721016 IBK721016 ILG721016 IVC721016 JEY721016 JOU721016 JYQ721016 KIM721016 KSI721016 LCE721016 LMA721016 LVW721016 MFS721016 MPO721016 MZK721016 NJG721016 NTC721016 OCY721016 OMU721016 OWQ721016 PGM721016 PQI721016 QAE721016 QKA721016 QTW721016 RDS721016 RNO721016 RXK721016 SHG721016 SRC721016 TAY721016 TKU721016 TUQ721016 UEM721016 UOI721016 UYE721016 VIA721016 VRW721016 WBS721016 WLO721016 WVK721016 C786552 IY786552 SU786552 ACQ786552 AMM786552 AWI786552 BGE786552 BQA786552 BZW786552 CJS786552 CTO786552 DDK786552 DNG786552 DXC786552 EGY786552 EQU786552 FAQ786552 FKM786552 FUI786552 GEE786552 GOA786552 GXW786552 HHS786552 HRO786552 IBK786552 ILG786552 IVC786552 JEY786552 JOU786552 JYQ786552 KIM786552 KSI786552 LCE786552 LMA786552 LVW786552 MFS786552 MPO786552 MZK786552 NJG786552 NTC786552 OCY786552 OMU786552 OWQ786552 PGM786552 PQI786552 QAE786552 QKA786552 QTW786552 RDS786552 RNO786552 RXK786552 SHG786552 SRC786552 TAY786552 TKU786552 TUQ786552 UEM786552 UOI786552 UYE786552 VIA786552 VRW786552 WBS786552 WLO786552 WVK786552 C852088 IY852088 SU852088 ACQ852088 AMM852088 AWI852088 BGE852088 BQA852088 BZW852088 CJS852088 CTO852088 DDK852088 DNG852088 DXC852088 EGY852088 EQU852088 FAQ852088 FKM852088 FUI852088 GEE852088 GOA852088 GXW852088 HHS852088 HRO852088 IBK852088 ILG852088 IVC852088 JEY852088 JOU852088 JYQ852088 KIM852088 KSI852088 LCE852088 LMA852088 LVW852088 MFS852088 MPO852088 MZK852088 NJG852088 NTC852088 OCY852088 OMU852088 OWQ852088 PGM852088 PQI852088 QAE852088 QKA852088 QTW852088 RDS852088 RNO852088 RXK852088 SHG852088 SRC852088 TAY852088 TKU852088 TUQ852088 UEM852088 UOI852088 UYE852088 VIA852088 VRW852088 WBS852088 WLO852088 WVK852088 C917624 IY917624 SU917624 ACQ917624 AMM917624 AWI917624 BGE917624 BQA917624 BZW917624 CJS917624 CTO917624 DDK917624 DNG917624 DXC917624 EGY917624 EQU917624 FAQ917624 FKM917624 FUI917624 GEE917624 GOA917624 GXW917624 HHS917624 HRO917624 IBK917624 ILG917624 IVC917624 JEY917624 JOU917624 JYQ917624 KIM917624 KSI917624 LCE917624 LMA917624 LVW917624 MFS917624 MPO917624 MZK917624 NJG917624 NTC917624 OCY917624 OMU917624 OWQ917624 PGM917624 PQI917624 QAE917624 QKA917624 QTW917624 RDS917624 RNO917624 RXK917624 SHG917624 SRC917624 TAY917624 TKU917624 TUQ917624 UEM917624 UOI917624 UYE917624 VIA917624 VRW917624 WBS917624 WLO917624 WVK917624 C983160 IY983160 SU983160 ACQ983160 AMM983160 AWI983160 BGE983160 BQA983160 BZW983160 CJS983160 CTO983160 DDK983160 DNG983160 DXC983160 EGY983160 EQU983160 FAQ983160 FKM983160 FUI983160 GEE983160 GOA983160 GXW983160 HHS983160 HRO983160 IBK983160 ILG983160 IVC983160 JEY983160 JOU983160 JYQ983160 KIM983160 KSI983160 LCE983160 LMA983160 LVW983160 MFS983160 MPO983160 MZK983160 NJG983160 NTC983160 OCY983160 OMU983160 OWQ983160 PGM983160 PQI983160 QAE983160 QKA983160 QTW983160 RDS983160 RNO983160 RXK983160 SHG983160 SRC983160 TAY983160 TKU983160 TUQ983160 UEM983160 UOI983160 UYE983160 VIA983160 VRW983160 WBS983160 WLO983160 WVK983160 C141 IY141 SU141 ACQ141 AMM141 AWI141 BGE141 BQA141 BZW141 CJS141 CTO141 DDK141 DNG141 DXC141 EGY141 EQU141 FAQ141 FKM141 FUI141 GEE141 GOA141 GXW141 HHS141 HRO141 IBK141 ILG141 IVC141 JEY141 JOU141 JYQ141 KIM141 KSI141 LCE141 LMA141 LVW141 MFS141 MPO141 MZK141 NJG141 NTC141 OCY141 OMU141 OWQ141 PGM141 PQI141 QAE141 QKA141 QTW141 RDS141 RNO141 RXK141 SHG141 SRC141 TAY141 TKU141 TUQ141 UEM141 UOI141 UYE141 VIA141 VRW141 WBS141 WLO141 WVK141 C65654 IY65654 SU65654 ACQ65654 AMM65654 AWI65654 BGE65654 BQA65654 BZW65654 CJS65654 CTO65654 DDK65654 DNG65654 DXC65654 EGY65654 EQU65654 FAQ65654 FKM65654 FUI65654 GEE65654 GOA65654 GXW65654 HHS65654 HRO65654 IBK65654 ILG65654 IVC65654 JEY65654 JOU65654 JYQ65654 KIM65654 KSI65654 LCE65654 LMA65654 LVW65654 MFS65654 MPO65654 MZK65654 NJG65654 NTC65654 OCY65654 OMU65654 OWQ65654 PGM65654 PQI65654 QAE65654 QKA65654 QTW65654 RDS65654 RNO65654 RXK65654 SHG65654 SRC65654 TAY65654 TKU65654 TUQ65654 UEM65654 UOI65654 UYE65654 VIA65654 VRW65654 WBS65654 WLO65654 WVK65654 C131190 IY131190 SU131190 ACQ131190 AMM131190 AWI131190 BGE131190 BQA131190 BZW131190 CJS131190 CTO131190 DDK131190 DNG131190 DXC131190 EGY131190 EQU131190 FAQ131190 FKM131190 FUI131190 GEE131190 GOA131190 GXW131190 HHS131190 HRO131190 IBK131190 ILG131190 IVC131190 JEY131190 JOU131190 JYQ131190 KIM131190 KSI131190 LCE131190 LMA131190 LVW131190 MFS131190 MPO131190 MZK131190 NJG131190 NTC131190 OCY131190 OMU131190 OWQ131190 PGM131190 PQI131190 QAE131190 QKA131190 QTW131190 RDS131190 RNO131190 RXK131190 SHG131190 SRC131190 TAY131190 TKU131190 TUQ131190 UEM131190 UOI131190 UYE131190 VIA131190 VRW131190 WBS131190 WLO131190 WVK131190 C196726 IY196726 SU196726 ACQ196726 AMM196726 AWI196726 BGE196726 BQA196726 BZW196726 CJS196726 CTO196726 DDK196726 DNG196726 DXC196726 EGY196726 EQU196726 FAQ196726 FKM196726 FUI196726 GEE196726 GOA196726 GXW196726 HHS196726 HRO196726 IBK196726 ILG196726 IVC196726 JEY196726 JOU196726 JYQ196726 KIM196726 KSI196726 LCE196726 LMA196726 LVW196726 MFS196726 MPO196726 MZK196726 NJG196726 NTC196726 OCY196726 OMU196726 OWQ196726 PGM196726 PQI196726 QAE196726 QKA196726 QTW196726 RDS196726 RNO196726 RXK196726 SHG196726 SRC196726 TAY196726 TKU196726 TUQ196726 UEM196726 UOI196726 UYE196726 VIA196726 VRW196726 WBS196726 WLO196726 WVK196726 C262262 IY262262 SU262262 ACQ262262 AMM262262 AWI262262 BGE262262 BQA262262 BZW262262 CJS262262 CTO262262 DDK262262 DNG262262 DXC262262 EGY262262 EQU262262 FAQ262262 FKM262262 FUI262262 GEE262262 GOA262262 GXW262262 HHS262262 HRO262262 IBK262262 ILG262262 IVC262262 JEY262262 JOU262262 JYQ262262 KIM262262 KSI262262 LCE262262 LMA262262 LVW262262 MFS262262 MPO262262 MZK262262 NJG262262 NTC262262 OCY262262 OMU262262 OWQ262262 PGM262262 PQI262262 QAE262262 QKA262262 QTW262262 RDS262262 RNO262262 RXK262262 SHG262262 SRC262262 TAY262262 TKU262262 TUQ262262 UEM262262 UOI262262 UYE262262 VIA262262 VRW262262 WBS262262 WLO262262 WVK262262 C327798 IY327798 SU327798 ACQ327798 AMM327798 AWI327798 BGE327798 BQA327798 BZW327798 CJS327798 CTO327798 DDK327798 DNG327798 DXC327798 EGY327798 EQU327798 FAQ327798 FKM327798 FUI327798 GEE327798 GOA327798 GXW327798 HHS327798 HRO327798 IBK327798 ILG327798 IVC327798 JEY327798 JOU327798 JYQ327798 KIM327798 KSI327798 LCE327798 LMA327798 LVW327798 MFS327798 MPO327798 MZK327798 NJG327798 NTC327798 OCY327798 OMU327798 OWQ327798 PGM327798 PQI327798 QAE327798 QKA327798 QTW327798 RDS327798 RNO327798 RXK327798 SHG327798 SRC327798 TAY327798 TKU327798 TUQ327798 UEM327798 UOI327798 UYE327798 VIA327798 VRW327798 WBS327798 WLO327798 WVK327798 C393334 IY393334 SU393334 ACQ393334 AMM393334 AWI393334 BGE393334 BQA393334 BZW393334 CJS393334 CTO393334 DDK393334 DNG393334 DXC393334 EGY393334 EQU393334 FAQ393334 FKM393334 FUI393334 GEE393334 GOA393334 GXW393334 HHS393334 HRO393334 IBK393334 ILG393334 IVC393334 JEY393334 JOU393334 JYQ393334 KIM393334 KSI393334 LCE393334 LMA393334 LVW393334 MFS393334 MPO393334 MZK393334 NJG393334 NTC393334 OCY393334 OMU393334 OWQ393334 PGM393334 PQI393334 QAE393334 QKA393334 QTW393334 RDS393334 RNO393334 RXK393334 SHG393334 SRC393334 TAY393334 TKU393334 TUQ393334 UEM393334 UOI393334 UYE393334 VIA393334 VRW393334 WBS393334 WLO393334 WVK393334 C458870 IY458870 SU458870 ACQ458870 AMM458870 AWI458870 BGE458870 BQA458870 BZW458870 CJS458870 CTO458870 DDK458870 DNG458870 DXC458870 EGY458870 EQU458870 FAQ458870 FKM458870 FUI458870 GEE458870 GOA458870 GXW458870 HHS458870 HRO458870 IBK458870 ILG458870 IVC458870 JEY458870 JOU458870 JYQ458870 KIM458870 KSI458870 LCE458870 LMA458870 LVW458870 MFS458870 MPO458870 MZK458870 NJG458870 NTC458870 OCY458870 OMU458870 OWQ458870 PGM458870 PQI458870 QAE458870 QKA458870 QTW458870 RDS458870 RNO458870 RXK458870 SHG458870 SRC458870 TAY458870 TKU458870 TUQ458870 UEM458870 UOI458870 UYE458870 VIA458870 VRW458870 WBS458870 WLO458870 WVK458870 C524406 IY524406 SU524406 ACQ524406 AMM524406 AWI524406 BGE524406 BQA524406 BZW524406 CJS524406 CTO524406 DDK524406 DNG524406 DXC524406 EGY524406 EQU524406 FAQ524406 FKM524406 FUI524406 GEE524406 GOA524406 GXW524406 HHS524406 HRO524406 IBK524406 ILG524406 IVC524406 JEY524406 JOU524406 JYQ524406 KIM524406 KSI524406 LCE524406 LMA524406 LVW524406 MFS524406 MPO524406 MZK524406 NJG524406 NTC524406 OCY524406 OMU524406 OWQ524406 PGM524406 PQI524406 QAE524406 QKA524406 QTW524406 RDS524406 RNO524406 RXK524406 SHG524406 SRC524406 TAY524406 TKU524406 TUQ524406 UEM524406 UOI524406 UYE524406 VIA524406 VRW524406 WBS524406 WLO524406 WVK524406 C589942 IY589942 SU589942 ACQ589942 AMM589942 AWI589942 BGE589942 BQA589942 BZW589942 CJS589942 CTO589942 DDK589942 DNG589942 DXC589942 EGY589942 EQU589942 FAQ589942 FKM589942 FUI589942 GEE589942 GOA589942 GXW589942 HHS589942 HRO589942 IBK589942 ILG589942 IVC589942 JEY589942 JOU589942 JYQ589942 KIM589942 KSI589942 LCE589942 LMA589942 LVW589942 MFS589942 MPO589942 MZK589942 NJG589942 NTC589942 OCY589942 OMU589942 OWQ589942 PGM589942 PQI589942 QAE589942 QKA589942 QTW589942 RDS589942 RNO589942 RXK589942 SHG589942 SRC589942 TAY589942 TKU589942 TUQ589942 UEM589942 UOI589942 UYE589942 VIA589942 VRW589942 WBS589942 WLO589942 WVK589942 C655478 IY655478 SU655478 ACQ655478 AMM655478 AWI655478 BGE655478 BQA655478 BZW655478 CJS655478 CTO655478 DDK655478 DNG655478 DXC655478 EGY655478 EQU655478 FAQ655478 FKM655478 FUI655478 GEE655478 GOA655478 GXW655478 HHS655478 HRO655478 IBK655478 ILG655478 IVC655478 JEY655478 JOU655478 JYQ655478 KIM655478 KSI655478 LCE655478 LMA655478 LVW655478 MFS655478 MPO655478 MZK655478 NJG655478 NTC655478 OCY655478 OMU655478 OWQ655478 PGM655478 PQI655478 QAE655478 QKA655478 QTW655478 RDS655478 RNO655478 RXK655478 SHG655478 SRC655478 TAY655478 TKU655478 TUQ655478 UEM655478 UOI655478 UYE655478 VIA655478 VRW655478 WBS655478 WLO655478 WVK655478 C721014 IY721014 SU721014 ACQ721014 AMM721014 AWI721014 BGE721014 BQA721014 BZW721014 CJS721014 CTO721014 DDK721014 DNG721014 DXC721014 EGY721014 EQU721014 FAQ721014 FKM721014 FUI721014 GEE721014 GOA721014 GXW721014 HHS721014 HRO721014 IBK721014 ILG721014 IVC721014 JEY721014 JOU721014 JYQ721014 KIM721014 KSI721014 LCE721014 LMA721014 LVW721014 MFS721014 MPO721014 MZK721014 NJG721014 NTC721014 OCY721014 OMU721014 OWQ721014 PGM721014 PQI721014 QAE721014 QKA721014 QTW721014 RDS721014 RNO721014 RXK721014 SHG721014 SRC721014 TAY721014 TKU721014 TUQ721014 UEM721014 UOI721014 UYE721014 VIA721014 VRW721014 WBS721014 WLO721014 WVK721014 C786550 IY786550 SU786550 ACQ786550 AMM786550 AWI786550 BGE786550 BQA786550 BZW786550 CJS786550 CTO786550 DDK786550 DNG786550 DXC786550 EGY786550 EQU786550 FAQ786550 FKM786550 FUI786550 GEE786550 GOA786550 GXW786550 HHS786550 HRO786550 IBK786550 ILG786550 IVC786550 JEY786550 JOU786550 JYQ786550 KIM786550 KSI786550 LCE786550 LMA786550 LVW786550 MFS786550 MPO786550 MZK786550 NJG786550 NTC786550 OCY786550 OMU786550 OWQ786550 PGM786550 PQI786550 QAE786550 QKA786550 QTW786550 RDS786550 RNO786550 RXK786550 SHG786550 SRC786550 TAY786550 TKU786550 TUQ786550 UEM786550 UOI786550 UYE786550 VIA786550 VRW786550 WBS786550 WLO786550 WVK786550 C852086 IY852086 SU852086 ACQ852086 AMM852086 AWI852086 BGE852086 BQA852086 BZW852086 CJS852086 CTO852086 DDK852086 DNG852086 DXC852086 EGY852086 EQU852086 FAQ852086 FKM852086 FUI852086 GEE852086 GOA852086 GXW852086 HHS852086 HRO852086 IBK852086 ILG852086 IVC852086 JEY852086 JOU852086 JYQ852086 KIM852086 KSI852086 LCE852086 LMA852086 LVW852086 MFS852086 MPO852086 MZK852086 NJG852086 NTC852086 OCY852086 OMU852086 OWQ852086 PGM852086 PQI852086 QAE852086 QKA852086 QTW852086 RDS852086 RNO852086 RXK852086 SHG852086 SRC852086 TAY852086 TKU852086 TUQ852086 UEM852086 UOI852086 UYE852086 VIA852086 VRW852086 WBS852086 WLO852086 WVK852086 C917622 IY917622 SU917622 ACQ917622 AMM917622 AWI917622 BGE917622 BQA917622 BZW917622 CJS917622 CTO917622 DDK917622 DNG917622 DXC917622 EGY917622 EQU917622 FAQ917622 FKM917622 FUI917622 GEE917622 GOA917622 GXW917622 HHS917622 HRO917622 IBK917622 ILG917622 IVC917622 JEY917622 JOU917622 JYQ917622 KIM917622 KSI917622 LCE917622 LMA917622 LVW917622 MFS917622 MPO917622 MZK917622 NJG917622 NTC917622 OCY917622 OMU917622 OWQ917622 PGM917622 PQI917622 QAE917622 QKA917622 QTW917622 RDS917622 RNO917622 RXK917622 SHG917622 SRC917622 TAY917622 TKU917622 TUQ917622 UEM917622 UOI917622 UYE917622 VIA917622 VRW917622 WBS917622 WLO917622 WVK917622 C983158 IY983158 SU983158 ACQ983158 AMM983158 AWI983158 BGE983158 BQA983158 BZW983158 CJS983158 CTO983158 DDK983158 DNG983158 DXC983158 EGY983158 EQU983158 FAQ983158 FKM983158 FUI983158 GEE983158 GOA983158 GXW983158 HHS983158 HRO983158 IBK983158 ILG983158 IVC983158 JEY983158 JOU983158 JYQ983158 KIM983158 KSI983158 LCE983158 LMA983158 LVW983158 MFS983158 MPO983158 MZK983158 NJG983158 NTC983158 OCY983158 OMU983158 OWQ983158 PGM983158 PQI983158 QAE983158 QKA983158 QTW983158 RDS983158 RNO983158 RXK983158 SHG983158 SRC983158 TAY983158 TKU983158 TUQ983158 UEM983158 UOI983158 UYE983158 VIA983158 VRW983158 WBS983158 WLO983158 WVK983158 C139 IY139 SU139 ACQ139 AMM139 AWI139 BGE139 BQA139 BZW139 CJS139 CTO139 DDK139 DNG139 DXC139 EGY139 EQU139 FAQ139 FKM139 FUI139 GEE139 GOA139 GXW139 HHS139 HRO139 IBK139 ILG139 IVC139 JEY139 JOU139 JYQ139 KIM139 KSI139 LCE139 LMA139 LVW139 MFS139 MPO139 MZK139 NJG139 NTC139 OCY139 OMU139 OWQ139 PGM139 PQI139 QAE139 QKA139 QTW139 RDS139 RNO139 RXK139 SHG139 SRC139 TAY139 TKU139 TUQ139 UEM139 UOI139 UYE139 VIA139 VRW139 WBS139 WLO139 WVK139 C65652 IY65652 SU65652 ACQ65652 AMM65652 AWI65652 BGE65652 BQA65652 BZW65652 CJS65652 CTO65652 DDK65652 DNG65652 DXC65652 EGY65652 EQU65652 FAQ65652 FKM65652 FUI65652 GEE65652 GOA65652 GXW65652 HHS65652 HRO65652 IBK65652 ILG65652 IVC65652 JEY65652 JOU65652 JYQ65652 KIM65652 KSI65652 LCE65652 LMA65652 LVW65652 MFS65652 MPO65652 MZK65652 NJG65652 NTC65652 OCY65652 OMU65652 OWQ65652 PGM65652 PQI65652 QAE65652 QKA65652 QTW65652 RDS65652 RNO65652 RXK65652 SHG65652 SRC65652 TAY65652 TKU65652 TUQ65652 UEM65652 UOI65652 UYE65652 VIA65652 VRW65652 WBS65652 WLO65652 WVK65652 C131188 IY131188 SU131188 ACQ131188 AMM131188 AWI131188 BGE131188 BQA131188 BZW131188 CJS131188 CTO131188 DDK131188 DNG131188 DXC131188 EGY131188 EQU131188 FAQ131188 FKM131188 FUI131188 GEE131188 GOA131188 GXW131188 HHS131188 HRO131188 IBK131188 ILG131188 IVC131188 JEY131188 JOU131188 JYQ131188 KIM131188 KSI131188 LCE131188 LMA131188 LVW131188 MFS131188 MPO131188 MZK131188 NJG131188 NTC131188 OCY131188 OMU131188 OWQ131188 PGM131188 PQI131188 QAE131188 QKA131188 QTW131188 RDS131188 RNO131188 RXK131188 SHG131188 SRC131188 TAY131188 TKU131188 TUQ131188 UEM131188 UOI131188 UYE131188 VIA131188 VRW131188 WBS131188 WLO131188 WVK131188 C196724 IY196724 SU196724 ACQ196724 AMM196724 AWI196724 BGE196724 BQA196724 BZW196724 CJS196724 CTO196724 DDK196724 DNG196724 DXC196724 EGY196724 EQU196724 FAQ196724 FKM196724 FUI196724 GEE196724 GOA196724 GXW196724 HHS196724 HRO196724 IBK196724 ILG196724 IVC196724 JEY196724 JOU196724 JYQ196724 KIM196724 KSI196724 LCE196724 LMA196724 LVW196724 MFS196724 MPO196724 MZK196724 NJG196724 NTC196724 OCY196724 OMU196724 OWQ196724 PGM196724 PQI196724 QAE196724 QKA196724 QTW196724 RDS196724 RNO196724 RXK196724 SHG196724 SRC196724 TAY196724 TKU196724 TUQ196724 UEM196724 UOI196724 UYE196724 VIA196724 VRW196724 WBS196724 WLO196724 WVK196724 C262260 IY262260 SU262260 ACQ262260 AMM262260 AWI262260 BGE262260 BQA262260 BZW262260 CJS262260 CTO262260 DDK262260 DNG262260 DXC262260 EGY262260 EQU262260 FAQ262260 FKM262260 FUI262260 GEE262260 GOA262260 GXW262260 HHS262260 HRO262260 IBK262260 ILG262260 IVC262260 JEY262260 JOU262260 JYQ262260 KIM262260 KSI262260 LCE262260 LMA262260 LVW262260 MFS262260 MPO262260 MZK262260 NJG262260 NTC262260 OCY262260 OMU262260 OWQ262260 PGM262260 PQI262260 QAE262260 QKA262260 QTW262260 RDS262260 RNO262260 RXK262260 SHG262260 SRC262260 TAY262260 TKU262260 TUQ262260 UEM262260 UOI262260 UYE262260 VIA262260 VRW262260 WBS262260 WLO262260 WVK262260 C327796 IY327796 SU327796 ACQ327796 AMM327796 AWI327796 BGE327796 BQA327796 BZW327796 CJS327796 CTO327796 DDK327796 DNG327796 DXC327796 EGY327796 EQU327796 FAQ327796 FKM327796 FUI327796 GEE327796 GOA327796 GXW327796 HHS327796 HRO327796 IBK327796 ILG327796 IVC327796 JEY327796 JOU327796 JYQ327796 KIM327796 KSI327796 LCE327796 LMA327796 LVW327796 MFS327796 MPO327796 MZK327796 NJG327796 NTC327796 OCY327796 OMU327796 OWQ327796 PGM327796 PQI327796 QAE327796 QKA327796 QTW327796 RDS327796 RNO327796 RXK327796 SHG327796 SRC327796 TAY327796 TKU327796 TUQ327796 UEM327796 UOI327796 UYE327796 VIA327796 VRW327796 WBS327796 WLO327796 WVK327796 C393332 IY393332 SU393332 ACQ393332 AMM393332 AWI393332 BGE393332 BQA393332 BZW393332 CJS393332 CTO393332 DDK393332 DNG393332 DXC393332 EGY393332 EQU393332 FAQ393332 FKM393332 FUI393332 GEE393332 GOA393332 GXW393332 HHS393332 HRO393332 IBK393332 ILG393332 IVC393332 JEY393332 JOU393332 JYQ393332 KIM393332 KSI393332 LCE393332 LMA393332 LVW393332 MFS393332 MPO393332 MZK393332 NJG393332 NTC393332 OCY393332 OMU393332 OWQ393332 PGM393332 PQI393332 QAE393332 QKA393332 QTW393332 RDS393332 RNO393332 RXK393332 SHG393332 SRC393332 TAY393332 TKU393332 TUQ393332 UEM393332 UOI393332 UYE393332 VIA393332 VRW393332 WBS393332 WLO393332 WVK393332 C458868 IY458868 SU458868 ACQ458868 AMM458868 AWI458868 BGE458868 BQA458868 BZW458868 CJS458868 CTO458868 DDK458868 DNG458868 DXC458868 EGY458868 EQU458868 FAQ458868 FKM458868 FUI458868 GEE458868 GOA458868 GXW458868 HHS458868 HRO458868 IBK458868 ILG458868 IVC458868 JEY458868 JOU458868 JYQ458868 KIM458868 KSI458868 LCE458868 LMA458868 LVW458868 MFS458868 MPO458868 MZK458868 NJG458868 NTC458868 OCY458868 OMU458868 OWQ458868 PGM458868 PQI458868 QAE458868 QKA458868 QTW458868 RDS458868 RNO458868 RXK458868 SHG458868 SRC458868 TAY458868 TKU458868 TUQ458868 UEM458868 UOI458868 UYE458868 VIA458868 VRW458868 WBS458868 WLO458868 WVK458868 C524404 IY524404 SU524404 ACQ524404 AMM524404 AWI524404 BGE524404 BQA524404 BZW524404 CJS524404 CTO524404 DDK524404 DNG524404 DXC524404 EGY524404 EQU524404 FAQ524404 FKM524404 FUI524404 GEE524404 GOA524404 GXW524404 HHS524404 HRO524404 IBK524404 ILG524404 IVC524404 JEY524404 JOU524404 JYQ524404 KIM524404 KSI524404 LCE524404 LMA524404 LVW524404 MFS524404 MPO524404 MZK524404 NJG524404 NTC524404 OCY524404 OMU524404 OWQ524404 PGM524404 PQI524404 QAE524404 QKA524404 QTW524404 RDS524404 RNO524404 RXK524404 SHG524404 SRC524404 TAY524404 TKU524404 TUQ524404 UEM524404 UOI524404 UYE524404 VIA524404 VRW524404 WBS524404 WLO524404 WVK524404 C589940 IY589940 SU589940 ACQ589940 AMM589940 AWI589940 BGE589940 BQA589940 BZW589940 CJS589940 CTO589940 DDK589940 DNG589940 DXC589940 EGY589940 EQU589940 FAQ589940 FKM589940 FUI589940 GEE589940 GOA589940 GXW589940 HHS589940 HRO589940 IBK589940 ILG589940 IVC589940 JEY589940 JOU589940 JYQ589940 KIM589940 KSI589940 LCE589940 LMA589940 LVW589940 MFS589940 MPO589940 MZK589940 NJG589940 NTC589940 OCY589940 OMU589940 OWQ589940 PGM589940 PQI589940 QAE589940 QKA589940 QTW589940 RDS589940 RNO589940 RXK589940 SHG589940 SRC589940 TAY589940 TKU589940 TUQ589940 UEM589940 UOI589940 UYE589940 VIA589940 VRW589940 WBS589940 WLO589940 WVK589940 C655476 IY655476 SU655476 ACQ655476 AMM655476 AWI655476 BGE655476 BQA655476 BZW655476 CJS655476 CTO655476 DDK655476 DNG655476 DXC655476 EGY655476 EQU655476 FAQ655476 FKM655476 FUI655476 GEE655476 GOA655476 GXW655476 HHS655476 HRO655476 IBK655476 ILG655476 IVC655476 JEY655476 JOU655476 JYQ655476 KIM655476 KSI655476 LCE655476 LMA655476 LVW655476 MFS655476 MPO655476 MZK655476 NJG655476 NTC655476 OCY655476 OMU655476 OWQ655476 PGM655476 PQI655476 QAE655476 QKA655476 QTW655476 RDS655476 RNO655476 RXK655476 SHG655476 SRC655476 TAY655476 TKU655476 TUQ655476 UEM655476 UOI655476 UYE655476 VIA655476 VRW655476 WBS655476 WLO655476 WVK655476 C721012 IY721012 SU721012 ACQ721012 AMM721012 AWI721012 BGE721012 BQA721012 BZW721012 CJS721012 CTO721012 DDK721012 DNG721012 DXC721012 EGY721012 EQU721012 FAQ721012 FKM721012 FUI721012 GEE721012 GOA721012 GXW721012 HHS721012 HRO721012 IBK721012 ILG721012 IVC721012 JEY721012 JOU721012 JYQ721012 KIM721012 KSI721012 LCE721012 LMA721012 LVW721012 MFS721012 MPO721012 MZK721012 NJG721012 NTC721012 OCY721012 OMU721012 OWQ721012 PGM721012 PQI721012 QAE721012 QKA721012 QTW721012 RDS721012 RNO721012 RXK721012 SHG721012 SRC721012 TAY721012 TKU721012 TUQ721012 UEM721012 UOI721012 UYE721012 VIA721012 VRW721012 WBS721012 WLO721012 WVK721012 C786548 IY786548 SU786548 ACQ786548 AMM786548 AWI786548 BGE786548 BQA786548 BZW786548 CJS786548 CTO786548 DDK786548 DNG786548 DXC786548 EGY786548 EQU786548 FAQ786548 FKM786548 FUI786548 GEE786548 GOA786548 GXW786548 HHS786548 HRO786548 IBK786548 ILG786548 IVC786548 JEY786548 JOU786548 JYQ786548 KIM786548 KSI786548 LCE786548 LMA786548 LVW786548 MFS786548 MPO786548 MZK786548 NJG786548 NTC786548 OCY786548 OMU786548 OWQ786548 PGM786548 PQI786548 QAE786548 QKA786548 QTW786548 RDS786548 RNO786548 RXK786548 SHG786548 SRC786548 TAY786548 TKU786548 TUQ786548 UEM786548 UOI786548 UYE786548 VIA786548 VRW786548 WBS786548 WLO786548 WVK786548 C852084 IY852084 SU852084 ACQ852084 AMM852084 AWI852084 BGE852084 BQA852084 BZW852084 CJS852084 CTO852084 DDK852084 DNG852084 DXC852084 EGY852084 EQU852084 FAQ852084 FKM852084 FUI852084 GEE852084 GOA852084 GXW852084 HHS852084 HRO852084 IBK852084 ILG852084 IVC852084 JEY852084 JOU852084 JYQ852084 KIM852084 KSI852084 LCE852084 LMA852084 LVW852084 MFS852084 MPO852084 MZK852084 NJG852084 NTC852084 OCY852084 OMU852084 OWQ852084 PGM852084 PQI852084 QAE852084 QKA852084 QTW852084 RDS852084 RNO852084 RXK852084 SHG852084 SRC852084 TAY852084 TKU852084 TUQ852084 UEM852084 UOI852084 UYE852084 VIA852084 VRW852084 WBS852084 WLO852084 WVK852084 C917620 IY917620 SU917620 ACQ917620 AMM917620 AWI917620 BGE917620 BQA917620 BZW917620 CJS917620 CTO917620 DDK917620 DNG917620 DXC917620 EGY917620 EQU917620 FAQ917620 FKM917620 FUI917620 GEE917620 GOA917620 GXW917620 HHS917620 HRO917620 IBK917620 ILG917620 IVC917620 JEY917620 JOU917620 JYQ917620 KIM917620 KSI917620 LCE917620 LMA917620 LVW917620 MFS917620 MPO917620 MZK917620 NJG917620 NTC917620 OCY917620 OMU917620 OWQ917620 PGM917620 PQI917620 QAE917620 QKA917620 QTW917620 RDS917620 RNO917620 RXK917620 SHG917620 SRC917620 TAY917620 TKU917620 TUQ917620 UEM917620 UOI917620 UYE917620 VIA917620 VRW917620 WBS917620 WLO917620 WVK917620 C983156 IY983156 SU983156 ACQ983156 AMM983156 AWI983156 BGE983156 BQA983156 BZW983156 CJS983156 CTO983156 DDK983156 DNG983156 DXC983156 EGY983156 EQU983156 FAQ983156 FKM983156 FUI983156 GEE983156 GOA983156 GXW983156 HHS983156 HRO983156 IBK983156 ILG983156 IVC983156 JEY983156 JOU983156 JYQ983156 KIM983156 KSI983156 LCE983156 LMA983156 LVW983156 MFS983156 MPO983156 MZK983156 NJG983156 NTC983156 OCY983156 OMU983156 OWQ983156 PGM983156 PQI983156 QAE983156 QKA983156 QTW983156 RDS983156 RNO983156 RXK983156 SHG983156 SRC983156 TAY983156 TKU983156 TUQ983156 UEM983156 UOI983156 UYE983156 VIA983156 VRW983156 WBS983156 WLO983156 WVK983156 C137 IY137 SU137 ACQ137 AMM137 AWI137 BGE137 BQA137 BZW137 CJS137 CTO137 DDK137 DNG137 DXC137 EGY137 EQU137 FAQ137 FKM137 FUI137 GEE137 GOA137 GXW137 HHS137 HRO137 IBK137 ILG137 IVC137 JEY137 JOU137 JYQ137 KIM137 KSI137 LCE137 LMA137 LVW137 MFS137 MPO137 MZK137 NJG137 NTC137 OCY137 OMU137 OWQ137 PGM137 PQI137 QAE137 QKA137 QTW137 RDS137 RNO137 RXK137 SHG137 SRC137 TAY137 TKU137 TUQ137 UEM137 UOI137 UYE137 VIA137 VRW137 WBS137 WLO137 WVK137 C65650 IY65650 SU65650 ACQ65650 AMM65650 AWI65650 BGE65650 BQA65650 BZW65650 CJS65650 CTO65650 DDK65650 DNG65650 DXC65650 EGY65650 EQU65650 FAQ65650 FKM65650 FUI65650 GEE65650 GOA65650 GXW65650 HHS65650 HRO65650 IBK65650 ILG65650 IVC65650 JEY65650 JOU65650 JYQ65650 KIM65650 KSI65650 LCE65650 LMA65650 LVW65650 MFS65650 MPO65650 MZK65650 NJG65650 NTC65650 OCY65650 OMU65650 OWQ65650 PGM65650 PQI65650 QAE65650 QKA65650 QTW65650 RDS65650 RNO65650 RXK65650 SHG65650 SRC65650 TAY65650 TKU65650 TUQ65650 UEM65650 UOI65650 UYE65650 VIA65650 VRW65650 WBS65650 WLO65650 WVK65650 C131186 IY131186 SU131186 ACQ131186 AMM131186 AWI131186 BGE131186 BQA131186 BZW131186 CJS131186 CTO131186 DDK131186 DNG131186 DXC131186 EGY131186 EQU131186 FAQ131186 FKM131186 FUI131186 GEE131186 GOA131186 GXW131186 HHS131186 HRO131186 IBK131186 ILG131186 IVC131186 JEY131186 JOU131186 JYQ131186 KIM131186 KSI131186 LCE131186 LMA131186 LVW131186 MFS131186 MPO131186 MZK131186 NJG131186 NTC131186 OCY131186 OMU131186 OWQ131186 PGM131186 PQI131186 QAE131186 QKA131186 QTW131186 RDS131186 RNO131186 RXK131186 SHG131186 SRC131186 TAY131186 TKU131186 TUQ131186 UEM131186 UOI131186 UYE131186 VIA131186 VRW131186 WBS131186 WLO131186 WVK131186 C196722 IY196722 SU196722 ACQ196722 AMM196722 AWI196722 BGE196722 BQA196722 BZW196722 CJS196722 CTO196722 DDK196722 DNG196722 DXC196722 EGY196722 EQU196722 FAQ196722 FKM196722 FUI196722 GEE196722 GOA196722 GXW196722 HHS196722 HRO196722 IBK196722 ILG196722 IVC196722 JEY196722 JOU196722 JYQ196722 KIM196722 KSI196722 LCE196722 LMA196722 LVW196722 MFS196722 MPO196722 MZK196722 NJG196722 NTC196722 OCY196722 OMU196722 OWQ196722 PGM196722 PQI196722 QAE196722 QKA196722 QTW196722 RDS196722 RNO196722 RXK196722 SHG196722 SRC196722 TAY196722 TKU196722 TUQ196722 UEM196722 UOI196722 UYE196722 VIA196722 VRW196722 WBS196722 WLO196722 WVK196722 C262258 IY262258 SU262258 ACQ262258 AMM262258 AWI262258 BGE262258 BQA262258 BZW262258 CJS262258 CTO262258 DDK262258 DNG262258 DXC262258 EGY262258 EQU262258 FAQ262258 FKM262258 FUI262258 GEE262258 GOA262258 GXW262258 HHS262258 HRO262258 IBK262258 ILG262258 IVC262258 JEY262258 JOU262258 JYQ262258 KIM262258 KSI262258 LCE262258 LMA262258 LVW262258 MFS262258 MPO262258 MZK262258 NJG262258 NTC262258 OCY262258 OMU262258 OWQ262258 PGM262258 PQI262258 QAE262258 QKA262258 QTW262258 RDS262258 RNO262258 RXK262258 SHG262258 SRC262258 TAY262258 TKU262258 TUQ262258 UEM262258 UOI262258 UYE262258 VIA262258 VRW262258 WBS262258 WLO262258 WVK262258 C327794 IY327794 SU327794 ACQ327794 AMM327794 AWI327794 BGE327794 BQA327794 BZW327794 CJS327794 CTO327794 DDK327794 DNG327794 DXC327794 EGY327794 EQU327794 FAQ327794 FKM327794 FUI327794 GEE327794 GOA327794 GXW327794 HHS327794 HRO327794 IBK327794 ILG327794 IVC327794 JEY327794 JOU327794 JYQ327794 KIM327794 KSI327794 LCE327794 LMA327794 LVW327794 MFS327794 MPO327794 MZK327794 NJG327794 NTC327794 OCY327794 OMU327794 OWQ327794 PGM327794 PQI327794 QAE327794 QKA327794 QTW327794 RDS327794 RNO327794 RXK327794 SHG327794 SRC327794 TAY327794 TKU327794 TUQ327794 UEM327794 UOI327794 UYE327794 VIA327794 VRW327794 WBS327794 WLO327794 WVK327794 C393330 IY393330 SU393330 ACQ393330 AMM393330 AWI393330 BGE393330 BQA393330 BZW393330 CJS393330 CTO393330 DDK393330 DNG393330 DXC393330 EGY393330 EQU393330 FAQ393330 FKM393330 FUI393330 GEE393330 GOA393330 GXW393330 HHS393330 HRO393330 IBK393330 ILG393330 IVC393330 JEY393330 JOU393330 JYQ393330 KIM393330 KSI393330 LCE393330 LMA393330 LVW393330 MFS393330 MPO393330 MZK393330 NJG393330 NTC393330 OCY393330 OMU393330 OWQ393330 PGM393330 PQI393330 QAE393330 QKA393330 QTW393330 RDS393330 RNO393330 RXK393330 SHG393330 SRC393330 TAY393330 TKU393330 TUQ393330 UEM393330 UOI393330 UYE393330 VIA393330 VRW393330 WBS393330 WLO393330 WVK393330 C458866 IY458866 SU458866 ACQ458866 AMM458866 AWI458866 BGE458866 BQA458866 BZW458866 CJS458866 CTO458866 DDK458866 DNG458866 DXC458866 EGY458866 EQU458866 FAQ458866 FKM458866 FUI458866 GEE458866 GOA458866 GXW458866 HHS458866 HRO458866 IBK458866 ILG458866 IVC458866 JEY458866 JOU458866 JYQ458866 KIM458866 KSI458866 LCE458866 LMA458866 LVW458866 MFS458866 MPO458866 MZK458866 NJG458866 NTC458866 OCY458866 OMU458866 OWQ458866 PGM458866 PQI458866 QAE458866 QKA458866 QTW458866 RDS458866 RNO458866 RXK458866 SHG458866 SRC458866 TAY458866 TKU458866 TUQ458866 UEM458866 UOI458866 UYE458866 VIA458866 VRW458866 WBS458866 WLO458866 WVK458866 C524402 IY524402 SU524402 ACQ524402 AMM524402 AWI524402 BGE524402 BQA524402 BZW524402 CJS524402 CTO524402 DDK524402 DNG524402 DXC524402 EGY524402 EQU524402 FAQ524402 FKM524402 FUI524402 GEE524402 GOA524402 GXW524402 HHS524402 HRO524402 IBK524402 ILG524402 IVC524402 JEY524402 JOU524402 JYQ524402 KIM524402 KSI524402 LCE524402 LMA524402 LVW524402 MFS524402 MPO524402 MZK524402 NJG524402 NTC524402 OCY524402 OMU524402 OWQ524402 PGM524402 PQI524402 QAE524402 QKA524402 QTW524402 RDS524402 RNO524402 RXK524402 SHG524402 SRC524402 TAY524402 TKU524402 TUQ524402 UEM524402 UOI524402 UYE524402 VIA524402 VRW524402 WBS524402 WLO524402 WVK524402 C589938 IY589938 SU589938 ACQ589938 AMM589938 AWI589938 BGE589938 BQA589938 BZW589938 CJS589938 CTO589938 DDK589938 DNG589938 DXC589938 EGY589938 EQU589938 FAQ589938 FKM589938 FUI589938 GEE589938 GOA589938 GXW589938 HHS589938 HRO589938 IBK589938 ILG589938 IVC589938 JEY589938 JOU589938 JYQ589938 KIM589938 KSI589938 LCE589938 LMA589938 LVW589938 MFS589938 MPO589938 MZK589938 NJG589938 NTC589938 OCY589938 OMU589938 OWQ589938 PGM589938 PQI589938 QAE589938 QKA589938 QTW589938 RDS589938 RNO589938 RXK589938 SHG589938 SRC589938 TAY589938 TKU589938 TUQ589938 UEM589938 UOI589938 UYE589938 VIA589938 VRW589938 WBS589938 WLO589938 WVK589938 C655474 IY655474 SU655474 ACQ655474 AMM655474 AWI655474 BGE655474 BQA655474 BZW655474 CJS655474 CTO655474 DDK655474 DNG655474 DXC655474 EGY655474 EQU655474 FAQ655474 FKM655474 FUI655474 GEE655474 GOA655474 GXW655474 HHS655474 HRO655474 IBK655474 ILG655474 IVC655474 JEY655474 JOU655474 JYQ655474 KIM655474 KSI655474 LCE655474 LMA655474 LVW655474 MFS655474 MPO655474 MZK655474 NJG655474 NTC655474 OCY655474 OMU655474 OWQ655474 PGM655474 PQI655474 QAE655474 QKA655474 QTW655474 RDS655474 RNO655474 RXK655474 SHG655474 SRC655474 TAY655474 TKU655474 TUQ655474 UEM655474 UOI655474 UYE655474 VIA655474 VRW655474 WBS655474 WLO655474 WVK655474 C721010 IY721010 SU721010 ACQ721010 AMM721010 AWI721010 BGE721010 BQA721010 BZW721010 CJS721010 CTO721010 DDK721010 DNG721010 DXC721010 EGY721010 EQU721010 FAQ721010 FKM721010 FUI721010 GEE721010 GOA721010 GXW721010 HHS721010 HRO721010 IBK721010 ILG721010 IVC721010 JEY721010 JOU721010 JYQ721010 KIM721010 KSI721010 LCE721010 LMA721010 LVW721010 MFS721010 MPO721010 MZK721010 NJG721010 NTC721010 OCY721010 OMU721010 OWQ721010 PGM721010 PQI721010 QAE721010 QKA721010 QTW721010 RDS721010 RNO721010 RXK721010 SHG721010 SRC721010 TAY721010 TKU721010 TUQ721010 UEM721010 UOI721010 UYE721010 VIA721010 VRW721010 WBS721010 WLO721010 WVK721010 C786546 IY786546 SU786546 ACQ786546 AMM786546 AWI786546 BGE786546 BQA786546 BZW786546 CJS786546 CTO786546 DDK786546 DNG786546 DXC786546 EGY786546 EQU786546 FAQ786546 FKM786546 FUI786546 GEE786546 GOA786546 GXW786546 HHS786546 HRO786546 IBK786546 ILG786546 IVC786546 JEY786546 JOU786546 JYQ786546 KIM786546 KSI786546 LCE786546 LMA786546 LVW786546 MFS786546 MPO786546 MZK786546 NJG786546 NTC786546 OCY786546 OMU786546 OWQ786546 PGM786546 PQI786546 QAE786546 QKA786546 QTW786546 RDS786546 RNO786546 RXK786546 SHG786546 SRC786546 TAY786546 TKU786546 TUQ786546 UEM786546 UOI786546 UYE786546 VIA786546 VRW786546 WBS786546 WLO786546 WVK786546 C852082 IY852082 SU852082 ACQ852082 AMM852082 AWI852082 BGE852082 BQA852082 BZW852082 CJS852082 CTO852082 DDK852082 DNG852082 DXC852082 EGY852082 EQU852082 FAQ852082 FKM852082 FUI852082 GEE852082 GOA852082 GXW852082 HHS852082 HRO852082 IBK852082 ILG852082 IVC852082 JEY852082 JOU852082 JYQ852082 KIM852082 KSI852082 LCE852082 LMA852082 LVW852082 MFS852082 MPO852082 MZK852082 NJG852082 NTC852082 OCY852082 OMU852082 OWQ852082 PGM852082 PQI852082 QAE852082 QKA852082 QTW852082 RDS852082 RNO852082 RXK852082 SHG852082 SRC852082 TAY852082 TKU852082 TUQ852082 UEM852082 UOI852082 UYE852082 VIA852082 VRW852082 WBS852082 WLO852082 WVK852082 C917618 IY917618 SU917618 ACQ917618 AMM917618 AWI917618 BGE917618 BQA917618 BZW917618 CJS917618 CTO917618 DDK917618 DNG917618 DXC917618 EGY917618 EQU917618 FAQ917618 FKM917618 FUI917618 GEE917618 GOA917618 GXW917618 HHS917618 HRO917618 IBK917618 ILG917618 IVC917618 JEY917618 JOU917618 JYQ917618 KIM917618 KSI917618 LCE917618 LMA917618 LVW917618 MFS917618 MPO917618 MZK917618 NJG917618 NTC917618 OCY917618 OMU917618 OWQ917618 PGM917618 PQI917618 QAE917618 QKA917618 QTW917618 RDS917618 RNO917618 RXK917618 SHG917618 SRC917618 TAY917618 TKU917618 TUQ917618 UEM917618 UOI917618 UYE917618 VIA917618 VRW917618 WBS917618 WLO917618 WVK917618 C983154 IY983154 SU983154 ACQ983154 AMM983154 AWI983154 BGE983154 BQA983154 BZW983154 CJS983154 CTO983154 DDK983154 DNG983154 DXC983154 EGY983154 EQU983154 FAQ983154 FKM983154 FUI983154 GEE983154 GOA983154 GXW983154 HHS983154 HRO983154 IBK983154 ILG983154 IVC983154 JEY983154 JOU983154 JYQ983154 KIM983154 KSI983154 LCE983154 LMA983154 LVW983154 MFS983154 MPO983154 MZK983154 NJG983154 NTC983154 OCY983154 OMU983154 OWQ983154 PGM983154 PQI983154 QAE983154 QKA983154 QTW983154 RDS983154 RNO983154 RXK983154 SHG983154 SRC983154 TAY983154 TKU983154 TUQ983154 UEM983154 UOI983154 UYE983154 VIA983154 VRW983154 WBS983154 WLO983154 WVK983154 C133 IY133 SU133 ACQ133 AMM133 AWI133 BGE133 BQA133 BZW133 CJS133 CTO133 DDK133 DNG133 DXC133 EGY133 EQU133 FAQ133 FKM133 FUI133 GEE133 GOA133 GXW133 HHS133 HRO133 IBK133 ILG133 IVC133 JEY133 JOU133 JYQ133 KIM133 KSI133 LCE133 LMA133 LVW133 MFS133 MPO133 MZK133 NJG133 NTC133 OCY133 OMU133 OWQ133 PGM133 PQI133 QAE133 QKA133 QTW133 RDS133 RNO133 RXK133 SHG133 SRC133 TAY133 TKU133 TUQ133 UEM133 UOI133 UYE133 VIA133 VRW133 WBS133 WLO133 WVK133 C65646 IY65646 SU65646 ACQ65646 AMM65646 AWI65646 BGE65646 BQA65646 BZW65646 CJS65646 CTO65646 DDK65646 DNG65646 DXC65646 EGY65646 EQU65646 FAQ65646 FKM65646 FUI65646 GEE65646 GOA65646 GXW65646 HHS65646 HRO65646 IBK65646 ILG65646 IVC65646 JEY65646 JOU65646 JYQ65646 KIM65646 KSI65646 LCE65646 LMA65646 LVW65646 MFS65646 MPO65646 MZK65646 NJG65646 NTC65646 OCY65646 OMU65646 OWQ65646 PGM65646 PQI65646 QAE65646 QKA65646 QTW65646 RDS65646 RNO65646 RXK65646 SHG65646 SRC65646 TAY65646 TKU65646 TUQ65646 UEM65646 UOI65646 UYE65646 VIA65646 VRW65646 WBS65646 WLO65646 WVK65646 C131182 IY131182 SU131182 ACQ131182 AMM131182 AWI131182 BGE131182 BQA131182 BZW131182 CJS131182 CTO131182 DDK131182 DNG131182 DXC131182 EGY131182 EQU131182 FAQ131182 FKM131182 FUI131182 GEE131182 GOA131182 GXW131182 HHS131182 HRO131182 IBK131182 ILG131182 IVC131182 JEY131182 JOU131182 JYQ131182 KIM131182 KSI131182 LCE131182 LMA131182 LVW131182 MFS131182 MPO131182 MZK131182 NJG131182 NTC131182 OCY131182 OMU131182 OWQ131182 PGM131182 PQI131182 QAE131182 QKA131182 QTW131182 RDS131182 RNO131182 RXK131182 SHG131182 SRC131182 TAY131182 TKU131182 TUQ131182 UEM131182 UOI131182 UYE131182 VIA131182 VRW131182 WBS131182 WLO131182 WVK131182 C196718 IY196718 SU196718 ACQ196718 AMM196718 AWI196718 BGE196718 BQA196718 BZW196718 CJS196718 CTO196718 DDK196718 DNG196718 DXC196718 EGY196718 EQU196718 FAQ196718 FKM196718 FUI196718 GEE196718 GOA196718 GXW196718 HHS196718 HRO196718 IBK196718 ILG196718 IVC196718 JEY196718 JOU196718 JYQ196718 KIM196718 KSI196718 LCE196718 LMA196718 LVW196718 MFS196718 MPO196718 MZK196718 NJG196718 NTC196718 OCY196718 OMU196718 OWQ196718 PGM196718 PQI196718 QAE196718 QKA196718 QTW196718 RDS196718 RNO196718 RXK196718 SHG196718 SRC196718 TAY196718 TKU196718 TUQ196718 UEM196718 UOI196718 UYE196718 VIA196718 VRW196718 WBS196718 WLO196718 WVK196718 C262254 IY262254 SU262254 ACQ262254 AMM262254 AWI262254 BGE262254 BQA262254 BZW262254 CJS262254 CTO262254 DDK262254 DNG262254 DXC262254 EGY262254 EQU262254 FAQ262254 FKM262254 FUI262254 GEE262254 GOA262254 GXW262254 HHS262254 HRO262254 IBK262254 ILG262254 IVC262254 JEY262254 JOU262254 JYQ262254 KIM262254 KSI262254 LCE262254 LMA262254 LVW262254 MFS262254 MPO262254 MZK262254 NJG262254 NTC262254 OCY262254 OMU262254 OWQ262254 PGM262254 PQI262254 QAE262254 QKA262254 QTW262254 RDS262254 RNO262254 RXK262254 SHG262254 SRC262254 TAY262254 TKU262254 TUQ262254 UEM262254 UOI262254 UYE262254 VIA262254 VRW262254 WBS262254 WLO262254 WVK262254 C327790 IY327790 SU327790 ACQ327790 AMM327790 AWI327790 BGE327790 BQA327790 BZW327790 CJS327790 CTO327790 DDK327790 DNG327790 DXC327790 EGY327790 EQU327790 FAQ327790 FKM327790 FUI327790 GEE327790 GOA327790 GXW327790 HHS327790 HRO327790 IBK327790 ILG327790 IVC327790 JEY327790 JOU327790 JYQ327790 KIM327790 KSI327790 LCE327790 LMA327790 LVW327790 MFS327790 MPO327790 MZK327790 NJG327790 NTC327790 OCY327790 OMU327790 OWQ327790 PGM327790 PQI327790 QAE327790 QKA327790 QTW327790 RDS327790 RNO327790 RXK327790 SHG327790 SRC327790 TAY327790 TKU327790 TUQ327790 UEM327790 UOI327790 UYE327790 VIA327790 VRW327790 WBS327790 WLO327790 WVK327790 C393326 IY393326 SU393326 ACQ393326 AMM393326 AWI393326 BGE393326 BQA393326 BZW393326 CJS393326 CTO393326 DDK393326 DNG393326 DXC393326 EGY393326 EQU393326 FAQ393326 FKM393326 FUI393326 GEE393326 GOA393326 GXW393326 HHS393326 HRO393326 IBK393326 ILG393326 IVC393326 JEY393326 JOU393326 JYQ393326 KIM393326 KSI393326 LCE393326 LMA393326 LVW393326 MFS393326 MPO393326 MZK393326 NJG393326 NTC393326 OCY393326 OMU393326 OWQ393326 PGM393326 PQI393326 QAE393326 QKA393326 QTW393326 RDS393326 RNO393326 RXK393326 SHG393326 SRC393326 TAY393326 TKU393326 TUQ393326 UEM393326 UOI393326 UYE393326 VIA393326 VRW393326 WBS393326 WLO393326 WVK393326 C458862 IY458862 SU458862 ACQ458862 AMM458862 AWI458862 BGE458862 BQA458862 BZW458862 CJS458862 CTO458862 DDK458862 DNG458862 DXC458862 EGY458862 EQU458862 FAQ458862 FKM458862 FUI458862 GEE458862 GOA458862 GXW458862 HHS458862 HRO458862 IBK458862 ILG458862 IVC458862 JEY458862 JOU458862 JYQ458862 KIM458862 KSI458862 LCE458862 LMA458862 LVW458862 MFS458862 MPO458862 MZK458862 NJG458862 NTC458862 OCY458862 OMU458862 OWQ458862 PGM458862 PQI458862 QAE458862 QKA458862 QTW458862 RDS458862 RNO458862 RXK458862 SHG458862 SRC458862 TAY458862 TKU458862 TUQ458862 UEM458862 UOI458862 UYE458862 VIA458862 VRW458862 WBS458862 WLO458862 WVK458862 C524398 IY524398 SU524398 ACQ524398 AMM524398 AWI524398 BGE524398 BQA524398 BZW524398 CJS524398 CTO524398 DDK524398 DNG524398 DXC524398 EGY524398 EQU524398 FAQ524398 FKM524398 FUI524398 GEE524398 GOA524398 GXW524398 HHS524398 HRO524398 IBK524398 ILG524398 IVC524398 JEY524398 JOU524398 JYQ524398 KIM524398 KSI524398 LCE524398 LMA524398 LVW524398 MFS524398 MPO524398 MZK524398 NJG524398 NTC524398 OCY524398 OMU524398 OWQ524398 PGM524398 PQI524398 QAE524398 QKA524398 QTW524398 RDS524398 RNO524398 RXK524398 SHG524398 SRC524398 TAY524398 TKU524398 TUQ524398 UEM524398 UOI524398 UYE524398 VIA524398 VRW524398 WBS524398 WLO524398 WVK524398 C589934 IY589934 SU589934 ACQ589934 AMM589934 AWI589934 BGE589934 BQA589934 BZW589934 CJS589934 CTO589934 DDK589934 DNG589934 DXC589934 EGY589934 EQU589934 FAQ589934 FKM589934 FUI589934 GEE589934 GOA589934 GXW589934 HHS589934 HRO589934 IBK589934 ILG589934 IVC589934 JEY589934 JOU589934 JYQ589934 KIM589934 KSI589934 LCE589934 LMA589934 LVW589934 MFS589934 MPO589934 MZK589934 NJG589934 NTC589934 OCY589934 OMU589934 OWQ589934 PGM589934 PQI589934 QAE589934 QKA589934 QTW589934 RDS589934 RNO589934 RXK589934 SHG589934 SRC589934 TAY589934 TKU589934 TUQ589934 UEM589934 UOI589934 UYE589934 VIA589934 VRW589934 WBS589934 WLO589934 WVK589934 C655470 IY655470 SU655470 ACQ655470 AMM655470 AWI655470 BGE655470 BQA655470 BZW655470 CJS655470 CTO655470 DDK655470 DNG655470 DXC655470 EGY655470 EQU655470 FAQ655470 FKM655470 FUI655470 GEE655470 GOA655470 GXW655470 HHS655470 HRO655470 IBK655470 ILG655470 IVC655470 JEY655470 JOU655470 JYQ655470 KIM655470 KSI655470 LCE655470 LMA655470 LVW655470 MFS655470 MPO655470 MZK655470 NJG655470 NTC655470 OCY655470 OMU655470 OWQ655470 PGM655470 PQI655470 QAE655470 QKA655470 QTW655470 RDS655470 RNO655470 RXK655470 SHG655470 SRC655470 TAY655470 TKU655470 TUQ655470 UEM655470 UOI655470 UYE655470 VIA655470 VRW655470 WBS655470 WLO655470 WVK655470 C721006 IY721006 SU721006 ACQ721006 AMM721006 AWI721006 BGE721006 BQA721006 BZW721006 CJS721006 CTO721006 DDK721006 DNG721006 DXC721006 EGY721006 EQU721006 FAQ721006 FKM721006 FUI721006 GEE721006 GOA721006 GXW721006 HHS721006 HRO721006 IBK721006 ILG721006 IVC721006 JEY721006 JOU721006 JYQ721006 KIM721006 KSI721006 LCE721006 LMA721006 LVW721006 MFS721006 MPO721006 MZK721006 NJG721006 NTC721006 OCY721006 OMU721006 OWQ721006 PGM721006 PQI721006 QAE721006 QKA721006 QTW721006 RDS721006 RNO721006 RXK721006 SHG721006 SRC721006 TAY721006 TKU721006 TUQ721006 UEM721006 UOI721006 UYE721006 VIA721006 VRW721006 WBS721006 WLO721006 WVK721006 C786542 IY786542 SU786542 ACQ786542 AMM786542 AWI786542 BGE786542 BQA786542 BZW786542 CJS786542 CTO786542 DDK786542 DNG786542 DXC786542 EGY786542 EQU786542 FAQ786542 FKM786542 FUI786542 GEE786542 GOA786542 GXW786542 HHS786542 HRO786542 IBK786542 ILG786542 IVC786542 JEY786542 JOU786542 JYQ786542 KIM786542 KSI786542 LCE786542 LMA786542 LVW786542 MFS786542 MPO786542 MZK786542 NJG786542 NTC786542 OCY786542 OMU786542 OWQ786542 PGM786542 PQI786542 QAE786542 QKA786542 QTW786542 RDS786542 RNO786542 RXK786542 SHG786542 SRC786542 TAY786542 TKU786542 TUQ786542 UEM786542 UOI786542 UYE786542 VIA786542 VRW786542 WBS786542 WLO786542 WVK786542 C852078 IY852078 SU852078 ACQ852078 AMM852078 AWI852078 BGE852078 BQA852078 BZW852078 CJS852078 CTO852078 DDK852078 DNG852078 DXC852078 EGY852078 EQU852078 FAQ852078 FKM852078 FUI852078 GEE852078 GOA852078 GXW852078 HHS852078 HRO852078 IBK852078 ILG852078 IVC852078 JEY852078 JOU852078 JYQ852078 KIM852078 KSI852078 LCE852078 LMA852078 LVW852078 MFS852078 MPO852078 MZK852078 NJG852078 NTC852078 OCY852078 OMU852078 OWQ852078 PGM852078 PQI852078 QAE852078 QKA852078 QTW852078 RDS852078 RNO852078 RXK852078 SHG852078 SRC852078 TAY852078 TKU852078 TUQ852078 UEM852078 UOI852078 UYE852078 VIA852078 VRW852078 WBS852078 WLO852078 WVK852078 C917614 IY917614 SU917614 ACQ917614 AMM917614 AWI917614 BGE917614 BQA917614 BZW917614 CJS917614 CTO917614 DDK917614 DNG917614 DXC917614 EGY917614 EQU917614 FAQ917614 FKM917614 FUI917614 GEE917614 GOA917614 GXW917614 HHS917614 HRO917614 IBK917614 ILG917614 IVC917614 JEY917614 JOU917614 JYQ917614 KIM917614 KSI917614 LCE917614 LMA917614 LVW917614 MFS917614 MPO917614 MZK917614 NJG917614 NTC917614 OCY917614 OMU917614 OWQ917614 PGM917614 PQI917614 QAE917614 QKA917614 QTW917614 RDS917614 RNO917614 RXK917614 SHG917614 SRC917614 TAY917614 TKU917614 TUQ917614 UEM917614 UOI917614 UYE917614 VIA917614 VRW917614 WBS917614 WLO917614 WVK917614 C983150 IY983150 SU983150 ACQ983150 AMM983150 AWI983150 BGE983150 BQA983150 BZW983150 CJS983150 CTO983150 DDK983150 DNG983150 DXC983150 EGY983150 EQU983150 FAQ983150 FKM983150 FUI983150 GEE983150 GOA983150 GXW983150 HHS983150 HRO983150 IBK983150 ILG983150 IVC983150 JEY983150 JOU983150 JYQ983150 KIM983150 KSI983150 LCE983150 LMA983150 LVW983150 MFS983150 MPO983150 MZK983150 NJG983150 NTC983150 OCY983150 OMU983150 OWQ983150 PGM983150 PQI983150 QAE983150 QKA983150 QTW983150 RDS983150 RNO983150 RXK983150 SHG983150 SRC983150 TAY983150 TKU983150 TUQ983150 UEM983150 UOI983150 UYE983150 VIA983150 VRW983150 WBS983150 WLO983150 WVK983150 C131 IY131 SU131 ACQ131 AMM131 AWI131 BGE131 BQA131 BZW131 CJS131 CTO131 DDK131 DNG131 DXC131 EGY131 EQU131 FAQ131 FKM131 FUI131 GEE131 GOA131 GXW131 HHS131 HRO131 IBK131 ILG131 IVC131 JEY131 JOU131 JYQ131 KIM131 KSI131 LCE131 LMA131 LVW131 MFS131 MPO131 MZK131 NJG131 NTC131 OCY131 OMU131 OWQ131 PGM131 PQI131 QAE131 QKA131 QTW131 RDS131 RNO131 RXK131 SHG131 SRC131 TAY131 TKU131 TUQ131 UEM131 UOI131 UYE131 VIA131 VRW131 WBS131 WLO131 WVK131 C65644 IY65644 SU65644 ACQ65644 AMM65644 AWI65644 BGE65644 BQA65644 BZW65644 CJS65644 CTO65644 DDK65644 DNG65644 DXC65644 EGY65644 EQU65644 FAQ65644 FKM65644 FUI65644 GEE65644 GOA65644 GXW65644 HHS65644 HRO65644 IBK65644 ILG65644 IVC65644 JEY65644 JOU65644 JYQ65644 KIM65644 KSI65644 LCE65644 LMA65644 LVW65644 MFS65644 MPO65644 MZK65644 NJG65644 NTC65644 OCY65644 OMU65644 OWQ65644 PGM65644 PQI65644 QAE65644 QKA65644 QTW65644 RDS65644 RNO65644 RXK65644 SHG65644 SRC65644 TAY65644 TKU65644 TUQ65644 UEM65644 UOI65644 UYE65644 VIA65644 VRW65644 WBS65644 WLO65644 WVK65644 C131180 IY131180 SU131180 ACQ131180 AMM131180 AWI131180 BGE131180 BQA131180 BZW131180 CJS131180 CTO131180 DDK131180 DNG131180 DXC131180 EGY131180 EQU131180 FAQ131180 FKM131180 FUI131180 GEE131180 GOA131180 GXW131180 HHS131180 HRO131180 IBK131180 ILG131180 IVC131180 JEY131180 JOU131180 JYQ131180 KIM131180 KSI131180 LCE131180 LMA131180 LVW131180 MFS131180 MPO131180 MZK131180 NJG131180 NTC131180 OCY131180 OMU131180 OWQ131180 PGM131180 PQI131180 QAE131180 QKA131180 QTW131180 RDS131180 RNO131180 RXK131180 SHG131180 SRC131180 TAY131180 TKU131180 TUQ131180 UEM131180 UOI131180 UYE131180 VIA131180 VRW131180 WBS131180 WLO131180 WVK131180 C196716 IY196716 SU196716 ACQ196716 AMM196716 AWI196716 BGE196716 BQA196716 BZW196716 CJS196716 CTO196716 DDK196716 DNG196716 DXC196716 EGY196716 EQU196716 FAQ196716 FKM196716 FUI196716 GEE196716 GOA196716 GXW196716 HHS196716 HRO196716 IBK196716 ILG196716 IVC196716 JEY196716 JOU196716 JYQ196716 KIM196716 KSI196716 LCE196716 LMA196716 LVW196716 MFS196716 MPO196716 MZK196716 NJG196716 NTC196716 OCY196716 OMU196716 OWQ196716 PGM196716 PQI196716 QAE196716 QKA196716 QTW196716 RDS196716 RNO196716 RXK196716 SHG196716 SRC196716 TAY196716 TKU196716 TUQ196716 UEM196716 UOI196716 UYE196716 VIA196716 VRW196716 WBS196716 WLO196716 WVK196716 C262252 IY262252 SU262252 ACQ262252 AMM262252 AWI262252 BGE262252 BQA262252 BZW262252 CJS262252 CTO262252 DDK262252 DNG262252 DXC262252 EGY262252 EQU262252 FAQ262252 FKM262252 FUI262252 GEE262252 GOA262252 GXW262252 HHS262252 HRO262252 IBK262252 ILG262252 IVC262252 JEY262252 JOU262252 JYQ262252 KIM262252 KSI262252 LCE262252 LMA262252 LVW262252 MFS262252 MPO262252 MZK262252 NJG262252 NTC262252 OCY262252 OMU262252 OWQ262252 PGM262252 PQI262252 QAE262252 QKA262252 QTW262252 RDS262252 RNO262252 RXK262252 SHG262252 SRC262252 TAY262252 TKU262252 TUQ262252 UEM262252 UOI262252 UYE262252 VIA262252 VRW262252 WBS262252 WLO262252 WVK262252 C327788 IY327788 SU327788 ACQ327788 AMM327788 AWI327788 BGE327788 BQA327788 BZW327788 CJS327788 CTO327788 DDK327788 DNG327788 DXC327788 EGY327788 EQU327788 FAQ327788 FKM327788 FUI327788 GEE327788 GOA327788 GXW327788 HHS327788 HRO327788 IBK327788 ILG327788 IVC327788 JEY327788 JOU327788 JYQ327788 KIM327788 KSI327788 LCE327788 LMA327788 LVW327788 MFS327788 MPO327788 MZK327788 NJG327788 NTC327788 OCY327788 OMU327788 OWQ327788 PGM327788 PQI327788 QAE327788 QKA327788 QTW327788 RDS327788 RNO327788 RXK327788 SHG327788 SRC327788 TAY327788 TKU327788 TUQ327788 UEM327788 UOI327788 UYE327788 VIA327788 VRW327788 WBS327788 WLO327788 WVK327788 C393324 IY393324 SU393324 ACQ393324 AMM393324 AWI393324 BGE393324 BQA393324 BZW393324 CJS393324 CTO393324 DDK393324 DNG393324 DXC393324 EGY393324 EQU393324 FAQ393324 FKM393324 FUI393324 GEE393324 GOA393324 GXW393324 HHS393324 HRO393324 IBK393324 ILG393324 IVC393324 JEY393324 JOU393324 JYQ393324 KIM393324 KSI393324 LCE393324 LMA393324 LVW393324 MFS393324 MPO393324 MZK393324 NJG393324 NTC393324 OCY393324 OMU393324 OWQ393324 PGM393324 PQI393324 QAE393324 QKA393324 QTW393324 RDS393324 RNO393324 RXK393324 SHG393324 SRC393324 TAY393324 TKU393324 TUQ393324 UEM393324 UOI393324 UYE393324 VIA393324 VRW393324 WBS393324 WLO393324 WVK393324 C458860 IY458860 SU458860 ACQ458860 AMM458860 AWI458860 BGE458860 BQA458860 BZW458860 CJS458860 CTO458860 DDK458860 DNG458860 DXC458860 EGY458860 EQU458860 FAQ458860 FKM458860 FUI458860 GEE458860 GOA458860 GXW458860 HHS458860 HRO458860 IBK458860 ILG458860 IVC458860 JEY458860 JOU458860 JYQ458860 KIM458860 KSI458860 LCE458860 LMA458860 LVW458860 MFS458860 MPO458860 MZK458860 NJG458860 NTC458860 OCY458860 OMU458860 OWQ458860 PGM458860 PQI458860 QAE458860 QKA458860 QTW458860 RDS458860 RNO458860 RXK458860 SHG458860 SRC458860 TAY458860 TKU458860 TUQ458860 UEM458860 UOI458860 UYE458860 VIA458860 VRW458860 WBS458860 WLO458860 WVK458860 C524396 IY524396 SU524396 ACQ524396 AMM524396 AWI524396 BGE524396 BQA524396 BZW524396 CJS524396 CTO524396 DDK524396 DNG524396 DXC524396 EGY524396 EQU524396 FAQ524396 FKM524396 FUI524396 GEE524396 GOA524396 GXW524396 HHS524396 HRO524396 IBK524396 ILG524396 IVC524396 JEY524396 JOU524396 JYQ524396 KIM524396 KSI524396 LCE524396 LMA524396 LVW524396 MFS524396 MPO524396 MZK524396 NJG524396 NTC524396 OCY524396 OMU524396 OWQ524396 PGM524396 PQI524396 QAE524396 QKA524396 QTW524396 RDS524396 RNO524396 RXK524396 SHG524396 SRC524396 TAY524396 TKU524396 TUQ524396 UEM524396 UOI524396 UYE524396 VIA524396 VRW524396 WBS524396 WLO524396 WVK524396 C589932 IY589932 SU589932 ACQ589932 AMM589932 AWI589932 BGE589932 BQA589932 BZW589932 CJS589932 CTO589932 DDK589932 DNG589932 DXC589932 EGY589932 EQU589932 FAQ589932 FKM589932 FUI589932 GEE589932 GOA589932 GXW589932 HHS589932 HRO589932 IBK589932 ILG589932 IVC589932 JEY589932 JOU589932 JYQ589932 KIM589932 KSI589932 LCE589932 LMA589932 LVW589932 MFS589932 MPO589932 MZK589932 NJG589932 NTC589932 OCY589932 OMU589932 OWQ589932 PGM589932 PQI589932 QAE589932 QKA589932 QTW589932 RDS589932 RNO589932 RXK589932 SHG589932 SRC589932 TAY589932 TKU589932 TUQ589932 UEM589932 UOI589932 UYE589932 VIA589932 VRW589932 WBS589932 WLO589932 WVK589932 C655468 IY655468 SU655468 ACQ655468 AMM655468 AWI655468 BGE655468 BQA655468 BZW655468 CJS655468 CTO655468 DDK655468 DNG655468 DXC655468 EGY655468 EQU655468 FAQ655468 FKM655468 FUI655468 GEE655468 GOA655468 GXW655468 HHS655468 HRO655468 IBK655468 ILG655468 IVC655468 JEY655468 JOU655468 JYQ655468 KIM655468 KSI655468 LCE655468 LMA655468 LVW655468 MFS655468 MPO655468 MZK655468 NJG655468 NTC655468 OCY655468 OMU655468 OWQ655468 PGM655468 PQI655468 QAE655468 QKA655468 QTW655468 RDS655468 RNO655468 RXK655468 SHG655468 SRC655468 TAY655468 TKU655468 TUQ655468 UEM655468 UOI655468 UYE655468 VIA655468 VRW655468 WBS655468 WLO655468 WVK655468 C721004 IY721004 SU721004 ACQ721004 AMM721004 AWI721004 BGE721004 BQA721004 BZW721004 CJS721004 CTO721004 DDK721004 DNG721004 DXC721004 EGY721004 EQU721004 FAQ721004 FKM721004 FUI721004 GEE721004 GOA721004 GXW721004 HHS721004 HRO721004 IBK721004 ILG721004 IVC721004 JEY721004 JOU721004 JYQ721004 KIM721004 KSI721004 LCE721004 LMA721004 LVW721004 MFS721004 MPO721004 MZK721004 NJG721004 NTC721004 OCY721004 OMU721004 OWQ721004 PGM721004 PQI721004 QAE721004 QKA721004 QTW721004 RDS721004 RNO721004 RXK721004 SHG721004 SRC721004 TAY721004 TKU721004 TUQ721004 UEM721004 UOI721004 UYE721004 VIA721004 VRW721004 WBS721004 WLO721004 WVK721004 C786540 IY786540 SU786540 ACQ786540 AMM786540 AWI786540 BGE786540 BQA786540 BZW786540 CJS786540 CTO786540 DDK786540 DNG786540 DXC786540 EGY786540 EQU786540 FAQ786540 FKM786540 FUI786540 GEE786540 GOA786540 GXW786540 HHS786540 HRO786540 IBK786540 ILG786540 IVC786540 JEY786540 JOU786540 JYQ786540 KIM786540 KSI786540 LCE786540 LMA786540 LVW786540 MFS786540 MPO786540 MZK786540 NJG786540 NTC786540 OCY786540 OMU786540 OWQ786540 PGM786540 PQI786540 QAE786540 QKA786540 QTW786540 RDS786540 RNO786540 RXK786540 SHG786540 SRC786540 TAY786540 TKU786540 TUQ786540 UEM786540 UOI786540 UYE786540 VIA786540 VRW786540 WBS786540 WLO786540 WVK786540 C852076 IY852076 SU852076 ACQ852076 AMM852076 AWI852076 BGE852076 BQA852076 BZW852076 CJS852076 CTO852076 DDK852076 DNG852076 DXC852076 EGY852076 EQU852076 FAQ852076 FKM852076 FUI852076 GEE852076 GOA852076 GXW852076 HHS852076 HRO852076 IBK852076 ILG852076 IVC852076 JEY852076 JOU852076 JYQ852076 KIM852076 KSI852076 LCE852076 LMA852076 LVW852076 MFS852076 MPO852076 MZK852076 NJG852076 NTC852076 OCY852076 OMU852076 OWQ852076 PGM852076 PQI852076 QAE852076 QKA852076 QTW852076 RDS852076 RNO852076 RXK852076 SHG852076 SRC852076 TAY852076 TKU852076 TUQ852076 UEM852076 UOI852076 UYE852076 VIA852076 VRW852076 WBS852076 WLO852076 WVK852076 C917612 IY917612 SU917612 ACQ917612 AMM917612 AWI917612 BGE917612 BQA917612 BZW917612 CJS917612 CTO917612 DDK917612 DNG917612 DXC917612 EGY917612 EQU917612 FAQ917612 FKM917612 FUI917612 GEE917612 GOA917612 GXW917612 HHS917612 HRO917612 IBK917612 ILG917612 IVC917612 JEY917612 JOU917612 JYQ917612 KIM917612 KSI917612 LCE917612 LMA917612 LVW917612 MFS917612 MPO917612 MZK917612 NJG917612 NTC917612 OCY917612 OMU917612 OWQ917612 PGM917612 PQI917612 QAE917612 QKA917612 QTW917612 RDS917612 RNO917612 RXK917612 SHG917612 SRC917612 TAY917612 TKU917612 TUQ917612 UEM917612 UOI917612 UYE917612 VIA917612 VRW917612 WBS917612 WLO917612 WVK917612 C983148 IY983148 SU983148 ACQ983148 AMM983148 AWI983148 BGE983148 BQA983148 BZW983148 CJS983148 CTO983148 DDK983148 DNG983148 DXC983148 EGY983148 EQU983148 FAQ983148 FKM983148 FUI983148 GEE983148 GOA983148 GXW983148 HHS983148 HRO983148 IBK983148 ILG983148 IVC983148 JEY983148 JOU983148 JYQ983148 KIM983148 KSI983148 LCE983148 LMA983148 LVW983148 MFS983148 MPO983148 MZK983148 NJG983148 NTC983148 OCY983148 OMU983148 OWQ983148 PGM983148 PQI983148 QAE983148 QKA983148 QTW983148 RDS983148 RNO983148 RXK983148 SHG983148 SRC983148 TAY983148 TKU983148 TUQ983148 UEM983148 UOI983148 UYE983148 VIA983148 VRW983148 WBS983148 WLO983148 WVK983148 C157 IY157 SU157 ACQ157 AMM157 AWI157 BGE157 BQA157 BZW157 CJS157 CTO157 DDK157 DNG157 DXC157 EGY157 EQU157 FAQ157 FKM157 FUI157 GEE157 GOA157 GXW157 HHS157 HRO157 IBK157 ILG157 IVC157 JEY157 JOU157 JYQ157 KIM157 KSI157 LCE157 LMA157 LVW157 MFS157 MPO157 MZK157 NJG157 NTC157 OCY157 OMU157 OWQ157 PGM157 PQI157 QAE157 QKA157 QTW157 RDS157 RNO157 RXK157 SHG157 SRC157 TAY157 TKU157 TUQ157 UEM157 UOI157 UYE157 VIA157 VRW157 WBS157 WLO157 WVK157 C65670 IY65670 SU65670 ACQ65670 AMM65670 AWI65670 BGE65670 BQA65670 BZW65670 CJS65670 CTO65670 DDK65670 DNG65670 DXC65670 EGY65670 EQU65670 FAQ65670 FKM65670 FUI65670 GEE65670 GOA65670 GXW65670 HHS65670 HRO65670 IBK65670 ILG65670 IVC65670 JEY65670 JOU65670 JYQ65670 KIM65670 KSI65670 LCE65670 LMA65670 LVW65670 MFS65670 MPO65670 MZK65670 NJG65670 NTC65670 OCY65670 OMU65670 OWQ65670 PGM65670 PQI65670 QAE65670 QKA65670 QTW65670 RDS65670 RNO65670 RXK65670 SHG65670 SRC65670 TAY65670 TKU65670 TUQ65670 UEM65670 UOI65670 UYE65670 VIA65670 VRW65670 WBS65670 WLO65670 WVK65670 C131206 IY131206 SU131206 ACQ131206 AMM131206 AWI131206 BGE131206 BQA131206 BZW131206 CJS131206 CTO131206 DDK131206 DNG131206 DXC131206 EGY131206 EQU131206 FAQ131206 FKM131206 FUI131206 GEE131206 GOA131206 GXW131206 HHS131206 HRO131206 IBK131206 ILG131206 IVC131206 JEY131206 JOU131206 JYQ131206 KIM131206 KSI131206 LCE131206 LMA131206 LVW131206 MFS131206 MPO131206 MZK131206 NJG131206 NTC131206 OCY131206 OMU131206 OWQ131206 PGM131206 PQI131206 QAE131206 QKA131206 QTW131206 RDS131206 RNO131206 RXK131206 SHG131206 SRC131206 TAY131206 TKU131206 TUQ131206 UEM131206 UOI131206 UYE131206 VIA131206 VRW131206 WBS131206 WLO131206 WVK131206 C196742 IY196742 SU196742 ACQ196742 AMM196742 AWI196742 BGE196742 BQA196742 BZW196742 CJS196742 CTO196742 DDK196742 DNG196742 DXC196742 EGY196742 EQU196742 FAQ196742 FKM196742 FUI196742 GEE196742 GOA196742 GXW196742 HHS196742 HRO196742 IBK196742 ILG196742 IVC196742 JEY196742 JOU196742 JYQ196742 KIM196742 KSI196742 LCE196742 LMA196742 LVW196742 MFS196742 MPO196742 MZK196742 NJG196742 NTC196742 OCY196742 OMU196742 OWQ196742 PGM196742 PQI196742 QAE196742 QKA196742 QTW196742 RDS196742 RNO196742 RXK196742 SHG196742 SRC196742 TAY196742 TKU196742 TUQ196742 UEM196742 UOI196742 UYE196742 VIA196742 VRW196742 WBS196742 WLO196742 WVK196742 C262278 IY262278 SU262278 ACQ262278 AMM262278 AWI262278 BGE262278 BQA262278 BZW262278 CJS262278 CTO262278 DDK262278 DNG262278 DXC262278 EGY262278 EQU262278 FAQ262278 FKM262278 FUI262278 GEE262278 GOA262278 GXW262278 HHS262278 HRO262278 IBK262278 ILG262278 IVC262278 JEY262278 JOU262278 JYQ262278 KIM262278 KSI262278 LCE262278 LMA262278 LVW262278 MFS262278 MPO262278 MZK262278 NJG262278 NTC262278 OCY262278 OMU262278 OWQ262278 PGM262278 PQI262278 QAE262278 QKA262278 QTW262278 RDS262278 RNO262278 RXK262278 SHG262278 SRC262278 TAY262278 TKU262278 TUQ262278 UEM262278 UOI262278 UYE262278 VIA262278 VRW262278 WBS262278 WLO262278 WVK262278 C327814 IY327814 SU327814 ACQ327814 AMM327814 AWI327814 BGE327814 BQA327814 BZW327814 CJS327814 CTO327814 DDK327814 DNG327814 DXC327814 EGY327814 EQU327814 FAQ327814 FKM327814 FUI327814 GEE327814 GOA327814 GXW327814 HHS327814 HRO327814 IBK327814 ILG327814 IVC327814 JEY327814 JOU327814 JYQ327814 KIM327814 KSI327814 LCE327814 LMA327814 LVW327814 MFS327814 MPO327814 MZK327814 NJG327814 NTC327814 OCY327814 OMU327814 OWQ327814 PGM327814 PQI327814 QAE327814 QKA327814 QTW327814 RDS327814 RNO327814 RXK327814 SHG327814 SRC327814 TAY327814 TKU327814 TUQ327814 UEM327814 UOI327814 UYE327814 VIA327814 VRW327814 WBS327814 WLO327814 WVK327814 C393350 IY393350 SU393350 ACQ393350 AMM393350 AWI393350 BGE393350 BQA393350 BZW393350 CJS393350 CTO393350 DDK393350 DNG393350 DXC393350 EGY393350 EQU393350 FAQ393350 FKM393350 FUI393350 GEE393350 GOA393350 GXW393350 HHS393350 HRO393350 IBK393350 ILG393350 IVC393350 JEY393350 JOU393350 JYQ393350 KIM393350 KSI393350 LCE393350 LMA393350 LVW393350 MFS393350 MPO393350 MZK393350 NJG393350 NTC393350 OCY393350 OMU393350 OWQ393350 PGM393350 PQI393350 QAE393350 QKA393350 QTW393350 RDS393350 RNO393350 RXK393350 SHG393350 SRC393350 TAY393350 TKU393350 TUQ393350 UEM393350 UOI393350 UYE393350 VIA393350 VRW393350 WBS393350 WLO393350 WVK393350 C458886 IY458886 SU458886 ACQ458886 AMM458886 AWI458886 BGE458886 BQA458886 BZW458886 CJS458886 CTO458886 DDK458886 DNG458886 DXC458886 EGY458886 EQU458886 FAQ458886 FKM458886 FUI458886 GEE458886 GOA458886 GXW458886 HHS458886 HRO458886 IBK458886 ILG458886 IVC458886 JEY458886 JOU458886 JYQ458886 KIM458886 KSI458886 LCE458886 LMA458886 LVW458886 MFS458886 MPO458886 MZK458886 NJG458886 NTC458886 OCY458886 OMU458886 OWQ458886 PGM458886 PQI458886 QAE458886 QKA458886 QTW458886 RDS458886 RNO458886 RXK458886 SHG458886 SRC458886 TAY458886 TKU458886 TUQ458886 UEM458886 UOI458886 UYE458886 VIA458886 VRW458886 WBS458886 WLO458886 WVK458886 C524422 IY524422 SU524422 ACQ524422 AMM524422 AWI524422 BGE524422 BQA524422 BZW524422 CJS524422 CTO524422 DDK524422 DNG524422 DXC524422 EGY524422 EQU524422 FAQ524422 FKM524422 FUI524422 GEE524422 GOA524422 GXW524422 HHS524422 HRO524422 IBK524422 ILG524422 IVC524422 JEY524422 JOU524422 JYQ524422 KIM524422 KSI524422 LCE524422 LMA524422 LVW524422 MFS524422 MPO524422 MZK524422 NJG524422 NTC524422 OCY524422 OMU524422 OWQ524422 PGM524422 PQI524422 QAE524422 QKA524422 QTW524422 RDS524422 RNO524422 RXK524422 SHG524422 SRC524422 TAY524422 TKU524422 TUQ524422 UEM524422 UOI524422 UYE524422 VIA524422 VRW524422 WBS524422 WLO524422 WVK524422 C589958 IY589958 SU589958 ACQ589958 AMM589958 AWI589958 BGE589958 BQA589958 BZW589958 CJS589958 CTO589958 DDK589958 DNG589958 DXC589958 EGY589958 EQU589958 FAQ589958 FKM589958 FUI589958 GEE589958 GOA589958 GXW589958 HHS589958 HRO589958 IBK589958 ILG589958 IVC589958 JEY589958 JOU589958 JYQ589958 KIM589958 KSI589958 LCE589958 LMA589958 LVW589958 MFS589958 MPO589958 MZK589958 NJG589958 NTC589958 OCY589958 OMU589958 OWQ589958 PGM589958 PQI589958 QAE589958 QKA589958 QTW589958 RDS589958 RNO589958 RXK589958 SHG589958 SRC589958 TAY589958 TKU589958 TUQ589958 UEM589958 UOI589958 UYE589958 VIA589958 VRW589958 WBS589958 WLO589958 WVK589958 C655494 IY655494 SU655494 ACQ655494 AMM655494 AWI655494 BGE655494 BQA655494 BZW655494 CJS655494 CTO655494 DDK655494 DNG655494 DXC655494 EGY655494 EQU655494 FAQ655494 FKM655494 FUI655494 GEE655494 GOA655494 GXW655494 HHS655494 HRO655494 IBK655494 ILG655494 IVC655494 JEY655494 JOU655494 JYQ655494 KIM655494 KSI655494 LCE655494 LMA655494 LVW655494 MFS655494 MPO655494 MZK655494 NJG655494 NTC655494 OCY655494 OMU655494 OWQ655494 PGM655494 PQI655494 QAE655494 QKA655494 QTW655494 RDS655494 RNO655494 RXK655494 SHG655494 SRC655494 TAY655494 TKU655494 TUQ655494 UEM655494 UOI655494 UYE655494 VIA655494 VRW655494 WBS655494 WLO655494 WVK655494 C721030 IY721030 SU721030 ACQ721030 AMM721030 AWI721030 BGE721030 BQA721030 BZW721030 CJS721030 CTO721030 DDK721030 DNG721030 DXC721030 EGY721030 EQU721030 FAQ721030 FKM721030 FUI721030 GEE721030 GOA721030 GXW721030 HHS721030 HRO721030 IBK721030 ILG721030 IVC721030 JEY721030 JOU721030 JYQ721030 KIM721030 KSI721030 LCE721030 LMA721030 LVW721030 MFS721030 MPO721030 MZK721030 NJG721030 NTC721030 OCY721030 OMU721030 OWQ721030 PGM721030 PQI721030 QAE721030 QKA721030 QTW721030 RDS721030 RNO721030 RXK721030 SHG721030 SRC721030 TAY721030 TKU721030 TUQ721030 UEM721030 UOI721030 UYE721030 VIA721030 VRW721030 WBS721030 WLO721030 WVK721030 C786566 IY786566 SU786566 ACQ786566 AMM786566 AWI786566 BGE786566 BQA786566 BZW786566 CJS786566 CTO786566 DDK786566 DNG786566 DXC786566 EGY786566 EQU786566 FAQ786566 FKM786566 FUI786566 GEE786566 GOA786566 GXW786566 HHS786566 HRO786566 IBK786566 ILG786566 IVC786566 JEY786566 JOU786566 JYQ786566 KIM786566 KSI786566 LCE786566 LMA786566 LVW786566 MFS786566 MPO786566 MZK786566 NJG786566 NTC786566 OCY786566 OMU786566 OWQ786566 PGM786566 PQI786566 QAE786566 QKA786566 QTW786566 RDS786566 RNO786566 RXK786566 SHG786566 SRC786566 TAY786566 TKU786566 TUQ786566 UEM786566 UOI786566 UYE786566 VIA786566 VRW786566 WBS786566 WLO786566 WVK786566 C852102 IY852102 SU852102 ACQ852102 AMM852102 AWI852102 BGE852102 BQA852102 BZW852102 CJS852102 CTO852102 DDK852102 DNG852102 DXC852102 EGY852102 EQU852102 FAQ852102 FKM852102 FUI852102 GEE852102 GOA852102 GXW852102 HHS852102 HRO852102 IBK852102 ILG852102 IVC852102 JEY852102 JOU852102 JYQ852102 KIM852102 KSI852102 LCE852102 LMA852102 LVW852102 MFS852102 MPO852102 MZK852102 NJG852102 NTC852102 OCY852102 OMU852102 OWQ852102 PGM852102 PQI852102 QAE852102 QKA852102 QTW852102 RDS852102 RNO852102 RXK852102 SHG852102 SRC852102 TAY852102 TKU852102 TUQ852102 UEM852102 UOI852102 UYE852102 VIA852102 VRW852102 WBS852102 WLO852102 WVK852102 C917638 IY917638 SU917638 ACQ917638 AMM917638 AWI917638 BGE917638 BQA917638 BZW917638 CJS917638 CTO917638 DDK917638 DNG917638 DXC917638 EGY917638 EQU917638 FAQ917638 FKM917638 FUI917638 GEE917638 GOA917638 GXW917638 HHS917638 HRO917638 IBK917638 ILG917638 IVC917638 JEY917638 JOU917638 JYQ917638 KIM917638 KSI917638 LCE917638 LMA917638 LVW917638 MFS917638 MPO917638 MZK917638 NJG917638 NTC917638 OCY917638 OMU917638 OWQ917638 PGM917638 PQI917638 QAE917638 QKA917638 QTW917638 RDS917638 RNO917638 RXK917638 SHG917638 SRC917638 TAY917638 TKU917638 TUQ917638 UEM917638 UOI917638 UYE917638 VIA917638 VRW917638 WBS917638 WLO917638 WVK917638 C983174 IY983174 SU983174 ACQ983174 AMM983174 AWI983174 BGE983174 BQA983174 BZW983174 CJS983174 CTO983174 DDK983174 DNG983174 DXC983174 EGY983174 EQU983174 FAQ983174 FKM983174 FUI983174 GEE983174 GOA983174 GXW983174 HHS983174 HRO983174 IBK983174 ILG983174 IVC983174 JEY983174 JOU983174 JYQ983174 KIM983174 KSI983174 LCE983174 LMA983174 LVW983174 MFS983174 MPO983174 MZK983174 NJG983174 NTC983174 OCY983174 OMU983174 OWQ983174 PGM983174 PQI983174 QAE983174 QKA983174 QTW983174 RDS983174 RNO983174 RXK983174 SHG983174 SRC983174 TAY983174 TKU983174 TUQ983174 UEM983174 UOI983174 UYE983174 VIA983174 VRW983174 WBS983174 WLO983174 WVK983174 C161 IY161 SU161 ACQ161 AMM161 AWI161 BGE161 BQA161 BZW161 CJS161 CTO161 DDK161 DNG161 DXC161 EGY161 EQU161 FAQ161 FKM161 FUI161 GEE161 GOA161 GXW161 HHS161 HRO161 IBK161 ILG161 IVC161 JEY161 JOU161 JYQ161 KIM161 KSI161 LCE161 LMA161 LVW161 MFS161 MPO161 MZK161 NJG161 NTC161 OCY161 OMU161 OWQ161 PGM161 PQI161 QAE161 QKA161 QTW161 RDS161 RNO161 RXK161 SHG161 SRC161 TAY161 TKU161 TUQ161 UEM161 UOI161 UYE161 VIA161 VRW161 WBS161 WLO161 WVK161 C65674 IY65674 SU65674 ACQ65674 AMM65674 AWI65674 BGE65674 BQA65674 BZW65674 CJS65674 CTO65674 DDK65674 DNG65674 DXC65674 EGY65674 EQU65674 FAQ65674 FKM65674 FUI65674 GEE65674 GOA65674 GXW65674 HHS65674 HRO65674 IBK65674 ILG65674 IVC65674 JEY65674 JOU65674 JYQ65674 KIM65674 KSI65674 LCE65674 LMA65674 LVW65674 MFS65674 MPO65674 MZK65674 NJG65674 NTC65674 OCY65674 OMU65674 OWQ65674 PGM65674 PQI65674 QAE65674 QKA65674 QTW65674 RDS65674 RNO65674 RXK65674 SHG65674 SRC65674 TAY65674 TKU65674 TUQ65674 UEM65674 UOI65674 UYE65674 VIA65674 VRW65674 WBS65674 WLO65674 WVK65674 C131210 IY131210 SU131210 ACQ131210 AMM131210 AWI131210 BGE131210 BQA131210 BZW131210 CJS131210 CTO131210 DDK131210 DNG131210 DXC131210 EGY131210 EQU131210 FAQ131210 FKM131210 FUI131210 GEE131210 GOA131210 GXW131210 HHS131210 HRO131210 IBK131210 ILG131210 IVC131210 JEY131210 JOU131210 JYQ131210 KIM131210 KSI131210 LCE131210 LMA131210 LVW131210 MFS131210 MPO131210 MZK131210 NJG131210 NTC131210 OCY131210 OMU131210 OWQ131210 PGM131210 PQI131210 QAE131210 QKA131210 QTW131210 RDS131210 RNO131210 RXK131210 SHG131210 SRC131210 TAY131210 TKU131210 TUQ131210 UEM131210 UOI131210 UYE131210 VIA131210 VRW131210 WBS131210 WLO131210 WVK131210 C196746 IY196746 SU196746 ACQ196746 AMM196746 AWI196746 BGE196746 BQA196746 BZW196746 CJS196746 CTO196746 DDK196746 DNG196746 DXC196746 EGY196746 EQU196746 FAQ196746 FKM196746 FUI196746 GEE196746 GOA196746 GXW196746 HHS196746 HRO196746 IBK196746 ILG196746 IVC196746 JEY196746 JOU196746 JYQ196746 KIM196746 KSI196746 LCE196746 LMA196746 LVW196746 MFS196746 MPO196746 MZK196746 NJG196746 NTC196746 OCY196746 OMU196746 OWQ196746 PGM196746 PQI196746 QAE196746 QKA196746 QTW196746 RDS196746 RNO196746 RXK196746 SHG196746 SRC196746 TAY196746 TKU196746 TUQ196746 UEM196746 UOI196746 UYE196746 VIA196746 VRW196746 WBS196746 WLO196746 WVK196746 C262282 IY262282 SU262282 ACQ262282 AMM262282 AWI262282 BGE262282 BQA262282 BZW262282 CJS262282 CTO262282 DDK262282 DNG262282 DXC262282 EGY262282 EQU262282 FAQ262282 FKM262282 FUI262282 GEE262282 GOA262282 GXW262282 HHS262282 HRO262282 IBK262282 ILG262282 IVC262282 JEY262282 JOU262282 JYQ262282 KIM262282 KSI262282 LCE262282 LMA262282 LVW262282 MFS262282 MPO262282 MZK262282 NJG262282 NTC262282 OCY262282 OMU262282 OWQ262282 PGM262282 PQI262282 QAE262282 QKA262282 QTW262282 RDS262282 RNO262282 RXK262282 SHG262282 SRC262282 TAY262282 TKU262282 TUQ262282 UEM262282 UOI262282 UYE262282 VIA262282 VRW262282 WBS262282 WLO262282 WVK262282 C327818 IY327818 SU327818 ACQ327818 AMM327818 AWI327818 BGE327818 BQA327818 BZW327818 CJS327818 CTO327818 DDK327818 DNG327818 DXC327818 EGY327818 EQU327818 FAQ327818 FKM327818 FUI327818 GEE327818 GOA327818 GXW327818 HHS327818 HRO327818 IBK327818 ILG327818 IVC327818 JEY327818 JOU327818 JYQ327818 KIM327818 KSI327818 LCE327818 LMA327818 LVW327818 MFS327818 MPO327818 MZK327818 NJG327818 NTC327818 OCY327818 OMU327818 OWQ327818 PGM327818 PQI327818 QAE327818 QKA327818 QTW327818 RDS327818 RNO327818 RXK327818 SHG327818 SRC327818 TAY327818 TKU327818 TUQ327818 UEM327818 UOI327818 UYE327818 VIA327818 VRW327818 WBS327818 WLO327818 WVK327818 C393354 IY393354 SU393354 ACQ393354 AMM393354 AWI393354 BGE393354 BQA393354 BZW393354 CJS393354 CTO393354 DDK393354 DNG393354 DXC393354 EGY393354 EQU393354 FAQ393354 FKM393354 FUI393354 GEE393354 GOA393354 GXW393354 HHS393354 HRO393354 IBK393354 ILG393354 IVC393354 JEY393354 JOU393354 JYQ393354 KIM393354 KSI393354 LCE393354 LMA393354 LVW393354 MFS393354 MPO393354 MZK393354 NJG393354 NTC393354 OCY393354 OMU393354 OWQ393354 PGM393354 PQI393354 QAE393354 QKA393354 QTW393354 RDS393354 RNO393354 RXK393354 SHG393354 SRC393354 TAY393354 TKU393354 TUQ393354 UEM393354 UOI393354 UYE393354 VIA393354 VRW393354 WBS393354 WLO393354 WVK393354 C458890 IY458890 SU458890 ACQ458890 AMM458890 AWI458890 BGE458890 BQA458890 BZW458890 CJS458890 CTO458890 DDK458890 DNG458890 DXC458890 EGY458890 EQU458890 FAQ458890 FKM458890 FUI458890 GEE458890 GOA458890 GXW458890 HHS458890 HRO458890 IBK458890 ILG458890 IVC458890 JEY458890 JOU458890 JYQ458890 KIM458890 KSI458890 LCE458890 LMA458890 LVW458890 MFS458890 MPO458890 MZK458890 NJG458890 NTC458890 OCY458890 OMU458890 OWQ458890 PGM458890 PQI458890 QAE458890 QKA458890 QTW458890 RDS458890 RNO458890 RXK458890 SHG458890 SRC458890 TAY458890 TKU458890 TUQ458890 UEM458890 UOI458890 UYE458890 VIA458890 VRW458890 WBS458890 WLO458890 WVK458890 C524426 IY524426 SU524426 ACQ524426 AMM524426 AWI524426 BGE524426 BQA524426 BZW524426 CJS524426 CTO524426 DDK524426 DNG524426 DXC524426 EGY524426 EQU524426 FAQ524426 FKM524426 FUI524426 GEE524426 GOA524426 GXW524426 HHS524426 HRO524426 IBK524426 ILG524426 IVC524426 JEY524426 JOU524426 JYQ524426 KIM524426 KSI524426 LCE524426 LMA524426 LVW524426 MFS524426 MPO524426 MZK524426 NJG524426 NTC524426 OCY524426 OMU524426 OWQ524426 PGM524426 PQI524426 QAE524426 QKA524426 QTW524426 RDS524426 RNO524426 RXK524426 SHG524426 SRC524426 TAY524426 TKU524426 TUQ524426 UEM524426 UOI524426 UYE524426 VIA524426 VRW524426 WBS524426 WLO524426 WVK524426 C589962 IY589962 SU589962 ACQ589962 AMM589962 AWI589962 BGE589962 BQA589962 BZW589962 CJS589962 CTO589962 DDK589962 DNG589962 DXC589962 EGY589962 EQU589962 FAQ589962 FKM589962 FUI589962 GEE589962 GOA589962 GXW589962 HHS589962 HRO589962 IBK589962 ILG589962 IVC589962 JEY589962 JOU589962 JYQ589962 KIM589962 KSI589962 LCE589962 LMA589962 LVW589962 MFS589962 MPO589962 MZK589962 NJG589962 NTC589962 OCY589962 OMU589962 OWQ589962 PGM589962 PQI589962 QAE589962 QKA589962 QTW589962 RDS589962 RNO589962 RXK589962 SHG589962 SRC589962 TAY589962 TKU589962 TUQ589962 UEM589962 UOI589962 UYE589962 VIA589962 VRW589962 WBS589962 WLO589962 WVK589962 C655498 IY655498 SU655498 ACQ655498 AMM655498 AWI655498 BGE655498 BQA655498 BZW655498 CJS655498 CTO655498 DDK655498 DNG655498 DXC655498 EGY655498 EQU655498 FAQ655498 FKM655498 FUI655498 GEE655498 GOA655498 GXW655498 HHS655498 HRO655498 IBK655498 ILG655498 IVC655498 JEY655498 JOU655498 JYQ655498 KIM655498 KSI655498 LCE655498 LMA655498 LVW655498 MFS655498 MPO655498 MZK655498 NJG655498 NTC655498 OCY655498 OMU655498 OWQ655498 PGM655498 PQI655498 QAE655498 QKA655498 QTW655498 RDS655498 RNO655498 RXK655498 SHG655498 SRC655498 TAY655498 TKU655498 TUQ655498 UEM655498 UOI655498 UYE655498 VIA655498 VRW655498 WBS655498 WLO655498 WVK655498 C721034 IY721034 SU721034 ACQ721034 AMM721034 AWI721034 BGE721034 BQA721034 BZW721034 CJS721034 CTO721034 DDK721034 DNG721034 DXC721034 EGY721034 EQU721034 FAQ721034 FKM721034 FUI721034 GEE721034 GOA721034 GXW721034 HHS721034 HRO721034 IBK721034 ILG721034 IVC721034 JEY721034 JOU721034 JYQ721034 KIM721034 KSI721034 LCE721034 LMA721034 LVW721034 MFS721034 MPO721034 MZK721034 NJG721034 NTC721034 OCY721034 OMU721034 OWQ721034 PGM721034 PQI721034 QAE721034 QKA721034 QTW721034 RDS721034 RNO721034 RXK721034 SHG721034 SRC721034 TAY721034 TKU721034 TUQ721034 UEM721034 UOI721034 UYE721034 VIA721034 VRW721034 WBS721034 WLO721034 WVK721034 C786570 IY786570 SU786570 ACQ786570 AMM786570 AWI786570 BGE786570 BQA786570 BZW786570 CJS786570 CTO786570 DDK786570 DNG786570 DXC786570 EGY786570 EQU786570 FAQ786570 FKM786570 FUI786570 GEE786570 GOA786570 GXW786570 HHS786570 HRO786570 IBK786570 ILG786570 IVC786570 JEY786570 JOU786570 JYQ786570 KIM786570 KSI786570 LCE786570 LMA786570 LVW786570 MFS786570 MPO786570 MZK786570 NJG786570 NTC786570 OCY786570 OMU786570 OWQ786570 PGM786570 PQI786570 QAE786570 QKA786570 QTW786570 RDS786570 RNO786570 RXK786570 SHG786570 SRC786570 TAY786570 TKU786570 TUQ786570 UEM786570 UOI786570 UYE786570 VIA786570 VRW786570 WBS786570 WLO786570 WVK786570 C852106 IY852106 SU852106 ACQ852106 AMM852106 AWI852106 BGE852106 BQA852106 BZW852106 CJS852106 CTO852106 DDK852106 DNG852106 DXC852106 EGY852106 EQU852106 FAQ852106 FKM852106 FUI852106 GEE852106 GOA852106 GXW852106 HHS852106 HRO852106 IBK852106 ILG852106 IVC852106 JEY852106 JOU852106 JYQ852106 KIM852106 KSI852106 LCE852106 LMA852106 LVW852106 MFS852106 MPO852106 MZK852106 NJG852106 NTC852106 OCY852106 OMU852106 OWQ852106 PGM852106 PQI852106 QAE852106 QKA852106 QTW852106 RDS852106 RNO852106 RXK852106 SHG852106 SRC852106 TAY852106 TKU852106 TUQ852106 UEM852106 UOI852106 UYE852106 VIA852106 VRW852106 WBS852106 WLO852106 WVK852106 C917642 IY917642 SU917642 ACQ917642 AMM917642 AWI917642 BGE917642 BQA917642 BZW917642 CJS917642 CTO917642 DDK917642 DNG917642 DXC917642 EGY917642 EQU917642 FAQ917642 FKM917642 FUI917642 GEE917642 GOA917642 GXW917642 HHS917642 HRO917642 IBK917642 ILG917642 IVC917642 JEY917642 JOU917642 JYQ917642 KIM917642 KSI917642 LCE917642 LMA917642 LVW917642 MFS917642 MPO917642 MZK917642 NJG917642 NTC917642 OCY917642 OMU917642 OWQ917642 PGM917642 PQI917642 QAE917642 QKA917642 QTW917642 RDS917642 RNO917642 RXK917642 SHG917642 SRC917642 TAY917642 TKU917642 TUQ917642 UEM917642 UOI917642 UYE917642 VIA917642 VRW917642 WBS917642 WLO917642 WVK917642 C983178 IY983178 SU983178 ACQ983178 AMM983178 AWI983178 BGE983178 BQA983178 BZW983178 CJS983178 CTO983178 DDK983178 DNG983178 DXC983178 EGY983178 EQU983178 FAQ983178 FKM983178 FUI983178 GEE983178 GOA983178 GXW983178 HHS983178 HRO983178 IBK983178 ILG983178 IVC983178 JEY983178 JOU983178 JYQ983178 KIM983178 KSI983178 LCE983178 LMA983178 LVW983178 MFS983178 MPO983178 MZK983178 NJG983178 NTC983178 OCY983178 OMU983178 OWQ983178 PGM983178 PQI983178 QAE983178 QKA983178 QTW983178 RDS983178 RNO983178 RXK983178 SHG983178 SRC983178 TAY983178 TKU983178 TUQ983178 UEM983178 UOI983178 UYE983178 VIA983178 VRW983178 WBS983178 WLO983178 WVK983178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9973-8E1B-4F50-96CD-FA2274944377}">
  <sheetPr codeName="Sheet14">
    <tabColor theme="9" tint="0.79998168889431442"/>
    <pageSetUpPr fitToPage="1"/>
  </sheetPr>
  <dimension ref="A1:BH115"/>
  <sheetViews>
    <sheetView zoomScaleNormal="100" zoomScalePageLayoutView="85" workbookViewId="0">
      <selection activeCell="E17" sqref="E17"/>
    </sheetView>
  </sheetViews>
  <sheetFormatPr defaultColWidth="9.3046875" defaultRowHeight="14.6" x14ac:dyDescent="0.4"/>
  <cols>
    <col min="1" max="1" width="5.69140625" style="2" customWidth="1"/>
    <col min="2" max="2" width="23.69140625" style="1" customWidth="1"/>
    <col min="3" max="3" width="23.69140625" style="7" customWidth="1"/>
    <col min="4" max="4" width="5.69140625" style="8" customWidth="1"/>
    <col min="5" max="6" width="56.69140625" style="1" customWidth="1"/>
    <col min="7" max="7" width="4.69140625" customWidth="1"/>
    <col min="8" max="8" width="45.69140625" customWidth="1"/>
    <col min="61" max="16384" width="9.3046875" style="34"/>
  </cols>
  <sheetData>
    <row r="1" spans="1:7" ht="18.45" x14ac:dyDescent="0.4">
      <c r="A1" s="471" t="str">
        <f>'Customer Summary'!A2</f>
        <v>XX Civil Engineer Squadron (XX CES)</v>
      </c>
      <c r="B1" s="472"/>
      <c r="C1" s="472"/>
      <c r="D1" s="472"/>
      <c r="E1" s="472"/>
      <c r="F1" s="473"/>
      <c r="G1" s="15"/>
    </row>
    <row r="2" spans="1:7" ht="15.9" x14ac:dyDescent="0.4">
      <c r="A2" s="474" t="str">
        <f>CONCATENATE("CATCODE: ", 'XX CES_610127_CE Admin'!E1)</f>
        <v>CATCODE: 610127</v>
      </c>
      <c r="B2" s="474"/>
      <c r="C2" s="474"/>
      <c r="D2" s="474"/>
      <c r="E2" s="474"/>
      <c r="F2" s="474"/>
    </row>
    <row r="3" spans="1:7" customFormat="1" x14ac:dyDescent="0.4">
      <c r="A3" s="475"/>
      <c r="B3" s="476"/>
      <c r="C3" s="476"/>
      <c r="D3" s="476"/>
      <c r="E3" s="476"/>
      <c r="F3" s="477"/>
    </row>
    <row r="4" spans="1:7" ht="29.15" x14ac:dyDescent="0.4">
      <c r="A4" s="224" t="s">
        <v>19</v>
      </c>
      <c r="B4" s="224" t="s">
        <v>225</v>
      </c>
      <c r="C4" s="225" t="s">
        <v>25</v>
      </c>
      <c r="D4" s="225" t="s">
        <v>226</v>
      </c>
      <c r="E4" s="224" t="s">
        <v>155</v>
      </c>
      <c r="F4" s="224" t="s">
        <v>174</v>
      </c>
    </row>
    <row r="5" spans="1:7" x14ac:dyDescent="0.4">
      <c r="A5" s="226"/>
      <c r="B5" s="478" t="s">
        <v>227</v>
      </c>
      <c r="C5" s="478"/>
      <c r="D5" s="478"/>
      <c r="E5" s="478"/>
      <c r="F5" s="190"/>
    </row>
    <row r="6" spans="1:7" ht="29.15" x14ac:dyDescent="0.4">
      <c r="A6" s="227">
        <f t="shared" ref="A6:A11" si="0">A5+1</f>
        <v>1</v>
      </c>
      <c r="B6" s="228"/>
      <c r="C6" s="229"/>
      <c r="D6" s="201" t="s">
        <v>228</v>
      </c>
      <c r="E6" s="230" t="s">
        <v>229</v>
      </c>
      <c r="F6" s="231"/>
    </row>
    <row r="7" spans="1:7" x14ac:dyDescent="0.4">
      <c r="A7" s="227">
        <f t="shared" si="0"/>
        <v>2</v>
      </c>
      <c r="B7" s="297" t="s">
        <v>230</v>
      </c>
      <c r="C7" s="232">
        <f>SUM(C6:C6)</f>
        <v>0</v>
      </c>
      <c r="D7" s="215"/>
      <c r="E7" s="231"/>
      <c r="F7" s="231"/>
    </row>
    <row r="8" spans="1:7" x14ac:dyDescent="0.4">
      <c r="A8" s="227">
        <f t="shared" si="0"/>
        <v>3</v>
      </c>
      <c r="B8" s="478" t="s">
        <v>231</v>
      </c>
      <c r="C8" s="395"/>
      <c r="D8" s="395"/>
      <c r="E8" s="395"/>
      <c r="F8" s="214"/>
    </row>
    <row r="9" spans="1:7" ht="29.15" x14ac:dyDescent="0.4">
      <c r="A9" s="227">
        <f t="shared" si="0"/>
        <v>4</v>
      </c>
      <c r="B9" s="228" t="s">
        <v>232</v>
      </c>
      <c r="C9" s="229"/>
      <c r="D9" s="201"/>
      <c r="E9" s="230" t="s">
        <v>233</v>
      </c>
      <c r="F9" s="231"/>
    </row>
    <row r="10" spans="1:7" ht="29.6" thickBot="1" x14ac:dyDescent="0.45">
      <c r="A10" s="227">
        <f t="shared" si="0"/>
        <v>5</v>
      </c>
      <c r="B10" s="298"/>
      <c r="C10" s="299"/>
      <c r="D10" s="201"/>
      <c r="E10" s="231" t="s">
        <v>233</v>
      </c>
      <c r="F10" s="231"/>
    </row>
    <row r="11" spans="1:7" ht="29.6" thickBot="1" x14ac:dyDescent="0.45">
      <c r="A11" s="227">
        <f t="shared" si="0"/>
        <v>6</v>
      </c>
      <c r="B11" s="10" t="s">
        <v>234</v>
      </c>
      <c r="C11" s="11"/>
      <c r="D11" s="6">
        <f>SUM(D9:D10)</f>
        <v>0</v>
      </c>
      <c r="E11" s="300"/>
      <c r="F11" s="233"/>
    </row>
    <row r="12" spans="1:7" customFormat="1" x14ac:dyDescent="0.4">
      <c r="A12" s="2"/>
      <c r="B12" s="1"/>
      <c r="C12" s="12"/>
      <c r="D12" s="13"/>
      <c r="E12" s="14"/>
      <c r="F12" s="1"/>
    </row>
    <row r="13" spans="1:7" customFormat="1" x14ac:dyDescent="0.4">
      <c r="A13" s="470" t="s">
        <v>235</v>
      </c>
      <c r="B13" s="470"/>
      <c r="C13" s="470"/>
      <c r="D13" s="470"/>
      <c r="E13" s="470"/>
      <c r="F13" s="470"/>
    </row>
    <row r="14" spans="1:7" customFormat="1" x14ac:dyDescent="0.4">
      <c r="A14" s="2"/>
      <c r="B14" s="32"/>
      <c r="C14" s="32"/>
      <c r="D14" s="8"/>
      <c r="E14" s="1"/>
      <c r="F14" s="1"/>
    </row>
    <row r="15" spans="1:7" customFormat="1" ht="18.45" x14ac:dyDescent="0.4">
      <c r="D15" s="8"/>
      <c r="E15" s="236" t="s">
        <v>14</v>
      </c>
      <c r="F15" s="1"/>
      <c r="G15" s="33"/>
    </row>
    <row r="16" spans="1:7" customFormat="1" ht="18.45" x14ac:dyDescent="0.4">
      <c r="D16" s="8"/>
      <c r="E16" s="27" t="s">
        <v>3627</v>
      </c>
      <c r="F16" s="1"/>
      <c r="G16" s="33"/>
    </row>
    <row r="17" spans="1:7" customFormat="1" ht="18.45" x14ac:dyDescent="0.4">
      <c r="D17" s="8"/>
      <c r="E17" s="27" t="s">
        <v>11</v>
      </c>
      <c r="F17" s="1"/>
      <c r="G17" s="33"/>
    </row>
    <row r="18" spans="1:7" customFormat="1" ht="18.45" x14ac:dyDescent="0.4">
      <c r="D18" s="8"/>
      <c r="E18" s="27" t="s">
        <v>12</v>
      </c>
      <c r="F18" s="1"/>
      <c r="G18" s="33"/>
    </row>
    <row r="19" spans="1:7" customFormat="1" ht="18.45" x14ac:dyDescent="0.4">
      <c r="D19" s="8"/>
      <c r="E19" s="28" t="str">
        <f>'Customer Summary'!B33</f>
        <v>POC: [CE unit designation (i.e. 99 CES)]</v>
      </c>
      <c r="F19" s="1"/>
      <c r="G19" s="33"/>
    </row>
    <row r="20" spans="1:7" customFormat="1" x14ac:dyDescent="0.4">
      <c r="A20" s="1"/>
      <c r="B20" s="1"/>
      <c r="C20" s="7"/>
      <c r="D20" s="8"/>
      <c r="E20" s="1"/>
      <c r="F20" s="1"/>
    </row>
    <row r="21" spans="1:7" customFormat="1" x14ac:dyDescent="0.4">
      <c r="A21" s="9"/>
      <c r="B21" s="1"/>
      <c r="C21" s="7"/>
      <c r="D21" s="8"/>
      <c r="E21" s="1"/>
      <c r="F21" s="1"/>
    </row>
    <row r="22" spans="1:7" customFormat="1" x14ac:dyDescent="0.4">
      <c r="A22" s="9"/>
      <c r="B22" s="1"/>
      <c r="C22" s="7"/>
      <c r="D22" s="8"/>
      <c r="E22" s="1"/>
      <c r="F22" s="1"/>
    </row>
    <row r="23" spans="1:7" customFormat="1" x14ac:dyDescent="0.4">
      <c r="A23" s="9"/>
      <c r="B23" s="1"/>
      <c r="C23" s="7"/>
      <c r="D23" s="8"/>
      <c r="E23" s="1"/>
      <c r="F23" s="1"/>
    </row>
    <row r="24" spans="1:7" customFormat="1" x14ac:dyDescent="0.4">
      <c r="A24" s="9"/>
      <c r="B24" s="1"/>
      <c r="C24" s="7"/>
      <c r="D24" s="8"/>
      <c r="E24" s="1"/>
      <c r="F24" s="1"/>
    </row>
    <row r="25" spans="1:7" customFormat="1" x14ac:dyDescent="0.4">
      <c r="A25" s="9"/>
      <c r="B25" s="1"/>
      <c r="C25" s="7"/>
      <c r="D25" s="8"/>
      <c r="E25" s="1"/>
      <c r="F25" s="1"/>
    </row>
    <row r="26" spans="1:7" customFormat="1" x14ac:dyDescent="0.4">
      <c r="A26" s="9"/>
      <c r="B26" s="1"/>
      <c r="C26" s="7"/>
      <c r="D26" s="8"/>
      <c r="E26" s="1"/>
      <c r="F26" s="1"/>
    </row>
    <row r="27" spans="1:7" customFormat="1" x14ac:dyDescent="0.4">
      <c r="A27" s="9"/>
      <c r="B27" s="1"/>
      <c r="C27" s="7"/>
      <c r="D27" s="8"/>
      <c r="E27" s="1"/>
      <c r="F27" s="1"/>
    </row>
    <row r="28" spans="1:7" customFormat="1" x14ac:dyDescent="0.4">
      <c r="A28" s="9"/>
      <c r="B28" s="1"/>
      <c r="C28" s="7"/>
      <c r="D28" s="8"/>
      <c r="E28" s="1"/>
      <c r="F28" s="1"/>
    </row>
    <row r="29" spans="1:7" customFormat="1" x14ac:dyDescent="0.4">
      <c r="A29" s="9"/>
      <c r="B29" s="1"/>
      <c r="C29" s="7"/>
      <c r="D29" s="8"/>
      <c r="E29" s="1"/>
      <c r="F29" s="1"/>
    </row>
    <row r="30" spans="1:7" customFormat="1" x14ac:dyDescent="0.4">
      <c r="A30" s="9"/>
      <c r="B30" s="1"/>
      <c r="C30" s="7"/>
      <c r="D30" s="8"/>
      <c r="E30" s="1"/>
      <c r="F30" s="1"/>
    </row>
    <row r="31" spans="1:7" customFormat="1" x14ac:dyDescent="0.4">
      <c r="A31" s="9"/>
      <c r="B31" s="1"/>
      <c r="C31" s="7"/>
      <c r="D31" s="8"/>
      <c r="E31" s="1"/>
      <c r="F31" s="1"/>
    </row>
    <row r="32" spans="1:7" customFormat="1" x14ac:dyDescent="0.4">
      <c r="A32" s="9"/>
      <c r="B32" s="1"/>
      <c r="C32" s="7"/>
      <c r="D32" s="8"/>
      <c r="E32" s="1"/>
      <c r="F32" s="1"/>
    </row>
    <row r="33" spans="1:6" customFormat="1" x14ac:dyDescent="0.4">
      <c r="A33" s="9"/>
      <c r="B33" s="1"/>
      <c r="C33" s="7"/>
      <c r="D33" s="8"/>
      <c r="E33" s="1"/>
      <c r="F33" s="1"/>
    </row>
    <row r="34" spans="1:6" customFormat="1" x14ac:dyDescent="0.4">
      <c r="A34" s="9"/>
      <c r="B34" s="1"/>
      <c r="C34" s="7"/>
      <c r="D34" s="8"/>
      <c r="E34" s="1"/>
      <c r="F34" s="1"/>
    </row>
    <row r="35" spans="1:6" customFormat="1" x14ac:dyDescent="0.4">
      <c r="A35" s="9"/>
      <c r="B35" s="1"/>
      <c r="C35" s="7"/>
      <c r="D35" s="8"/>
      <c r="E35" s="1"/>
      <c r="F35" s="1"/>
    </row>
    <row r="36" spans="1:6" customFormat="1" x14ac:dyDescent="0.4">
      <c r="A36" s="9"/>
      <c r="B36" s="1"/>
      <c r="C36" s="7"/>
      <c r="D36" s="8"/>
      <c r="E36" s="1"/>
      <c r="F36" s="1"/>
    </row>
    <row r="37" spans="1:6" customFormat="1" x14ac:dyDescent="0.4">
      <c r="A37" s="9"/>
      <c r="B37" s="1"/>
      <c r="C37" s="7"/>
      <c r="D37" s="8"/>
      <c r="E37" s="1"/>
      <c r="F37" s="1"/>
    </row>
    <row r="38" spans="1:6" customFormat="1" x14ac:dyDescent="0.4">
      <c r="A38" s="9"/>
      <c r="B38" s="1"/>
      <c r="C38" s="7"/>
      <c r="D38" s="8"/>
      <c r="E38" s="1"/>
      <c r="F38" s="1"/>
    </row>
    <row r="39" spans="1:6" customFormat="1" x14ac:dyDescent="0.4">
      <c r="A39" s="9"/>
      <c r="B39" s="1"/>
      <c r="C39" s="7"/>
      <c r="D39" s="8"/>
      <c r="E39" s="1"/>
      <c r="F39" s="1"/>
    </row>
    <row r="40" spans="1:6" customFormat="1" x14ac:dyDescent="0.4">
      <c r="A40" s="9"/>
      <c r="B40" s="1"/>
      <c r="C40" s="7"/>
      <c r="D40" s="8"/>
      <c r="E40" s="1"/>
      <c r="F40" s="1"/>
    </row>
    <row r="41" spans="1:6" customFormat="1" x14ac:dyDescent="0.4">
      <c r="A41" s="9"/>
      <c r="B41" s="1"/>
      <c r="C41" s="7"/>
      <c r="D41" s="8"/>
      <c r="E41" s="1"/>
      <c r="F41" s="1"/>
    </row>
    <row r="42" spans="1:6" customFormat="1" x14ac:dyDescent="0.4">
      <c r="A42" s="9"/>
      <c r="B42" s="1"/>
      <c r="C42" s="7"/>
      <c r="D42" s="8"/>
      <c r="E42" s="1"/>
      <c r="F42" s="1"/>
    </row>
    <row r="43" spans="1:6" customFormat="1" x14ac:dyDescent="0.4">
      <c r="A43" s="9"/>
      <c r="B43" s="1"/>
      <c r="C43" s="7"/>
      <c r="D43" s="8"/>
      <c r="E43" s="1"/>
      <c r="F43" s="1"/>
    </row>
    <row r="44" spans="1:6" customFormat="1" x14ac:dyDescent="0.4">
      <c r="A44" s="9"/>
      <c r="B44" s="1"/>
      <c r="C44" s="7"/>
      <c r="D44" s="8"/>
      <c r="E44" s="1"/>
      <c r="F44" s="1"/>
    </row>
    <row r="45" spans="1:6" customFormat="1" x14ac:dyDescent="0.4">
      <c r="A45" s="9"/>
      <c r="B45" s="1"/>
      <c r="C45" s="7"/>
      <c r="D45" s="8"/>
      <c r="E45" s="1"/>
      <c r="F45" s="1"/>
    </row>
    <row r="46" spans="1:6" customFormat="1" x14ac:dyDescent="0.4">
      <c r="A46" s="2"/>
      <c r="B46" s="1"/>
      <c r="C46" s="7"/>
      <c r="D46" s="8"/>
      <c r="E46" s="1"/>
      <c r="F46" s="1"/>
    </row>
    <row r="47" spans="1:6" customFormat="1" x14ac:dyDescent="0.4">
      <c r="A47" s="2"/>
      <c r="B47" s="1"/>
      <c r="C47" s="7"/>
      <c r="D47" s="8"/>
      <c r="E47" s="1"/>
      <c r="F47" s="1"/>
    </row>
    <row r="48" spans="1:6" customFormat="1" x14ac:dyDescent="0.4">
      <c r="A48" s="2"/>
      <c r="B48" s="1"/>
      <c r="C48" s="7"/>
      <c r="D48" s="8"/>
      <c r="E48" s="1"/>
      <c r="F48" s="1"/>
    </row>
    <row r="49" spans="1:6" customFormat="1" x14ac:dyDescent="0.4">
      <c r="A49" s="2"/>
      <c r="B49" s="1"/>
      <c r="C49" s="7"/>
      <c r="D49" s="8"/>
      <c r="E49" s="1"/>
      <c r="F49" s="1"/>
    </row>
    <row r="50" spans="1:6" customFormat="1" x14ac:dyDescent="0.4">
      <c r="A50" s="2"/>
      <c r="B50" s="1"/>
      <c r="C50" s="7"/>
      <c r="D50" s="8"/>
      <c r="E50" s="1"/>
      <c r="F50" s="1"/>
    </row>
    <row r="51" spans="1:6" customFormat="1" x14ac:dyDescent="0.4">
      <c r="A51" s="2"/>
      <c r="B51" s="1"/>
      <c r="C51" s="7"/>
      <c r="D51" s="8"/>
      <c r="E51" s="1"/>
      <c r="F51" s="1"/>
    </row>
    <row r="52" spans="1:6" customFormat="1" x14ac:dyDescent="0.4">
      <c r="A52" s="2"/>
      <c r="B52" s="1"/>
      <c r="C52" s="7"/>
      <c r="D52" s="8"/>
      <c r="E52" s="1"/>
      <c r="F52" s="1"/>
    </row>
    <row r="53" spans="1:6" customFormat="1" x14ac:dyDescent="0.4">
      <c r="A53" s="2"/>
      <c r="B53" s="1"/>
      <c r="C53" s="7"/>
      <c r="D53" s="8"/>
      <c r="E53" s="1"/>
      <c r="F53" s="1"/>
    </row>
    <row r="54" spans="1:6" customFormat="1" x14ac:dyDescent="0.4">
      <c r="A54" s="2"/>
      <c r="B54" s="1"/>
      <c r="C54" s="7"/>
      <c r="D54" s="8"/>
      <c r="E54" s="1"/>
      <c r="F54" s="1"/>
    </row>
    <row r="55" spans="1:6" customFormat="1" x14ac:dyDescent="0.4">
      <c r="A55" s="2"/>
      <c r="B55" s="1"/>
      <c r="C55" s="7"/>
      <c r="D55" s="8"/>
      <c r="E55" s="1"/>
      <c r="F55" s="1"/>
    </row>
    <row r="56" spans="1:6" customFormat="1" x14ac:dyDescent="0.4">
      <c r="A56" s="2"/>
      <c r="B56" s="1"/>
      <c r="C56" s="7"/>
      <c r="D56" s="8"/>
      <c r="E56" s="1"/>
      <c r="F56" s="1"/>
    </row>
    <row r="57" spans="1:6" customFormat="1" x14ac:dyDescent="0.4">
      <c r="A57" s="2"/>
      <c r="B57" s="1"/>
      <c r="C57" s="7"/>
      <c r="D57" s="8"/>
      <c r="E57" s="1"/>
      <c r="F57" s="1"/>
    </row>
    <row r="58" spans="1:6" customFormat="1" x14ac:dyDescent="0.4">
      <c r="A58" s="2"/>
      <c r="B58" s="1"/>
      <c r="C58" s="7"/>
      <c r="D58" s="8"/>
      <c r="E58" s="1"/>
      <c r="F58" s="1"/>
    </row>
    <row r="59" spans="1:6" customFormat="1" x14ac:dyDescent="0.4">
      <c r="A59" s="2"/>
      <c r="B59" s="1"/>
      <c r="C59" s="7"/>
      <c r="D59" s="8"/>
      <c r="E59" s="1"/>
      <c r="F59" s="1"/>
    </row>
    <row r="60" spans="1:6" customFormat="1" x14ac:dyDescent="0.4">
      <c r="A60" s="2"/>
      <c r="B60" s="1"/>
      <c r="C60" s="7"/>
      <c r="D60" s="8"/>
      <c r="E60" s="1"/>
      <c r="F60" s="1"/>
    </row>
    <row r="61" spans="1:6" customFormat="1" x14ac:dyDescent="0.4">
      <c r="A61" s="2"/>
      <c r="B61" s="1"/>
      <c r="C61" s="7"/>
      <c r="D61" s="8"/>
      <c r="E61" s="1"/>
      <c r="F61" s="1"/>
    </row>
    <row r="62" spans="1:6" customFormat="1" x14ac:dyDescent="0.4">
      <c r="A62" s="2"/>
      <c r="B62" s="1"/>
      <c r="C62" s="7"/>
      <c r="D62" s="8"/>
      <c r="E62" s="1"/>
      <c r="F62" s="1"/>
    </row>
    <row r="63" spans="1:6" customFormat="1" x14ac:dyDescent="0.4">
      <c r="A63" s="2"/>
      <c r="B63" s="1"/>
      <c r="C63" s="7"/>
      <c r="D63" s="8"/>
      <c r="E63" s="1"/>
      <c r="F63" s="1"/>
    </row>
    <row r="64" spans="1:6" customFormat="1" x14ac:dyDescent="0.4">
      <c r="A64" s="2"/>
      <c r="B64" s="1"/>
      <c r="C64" s="7"/>
      <c r="D64" s="8"/>
      <c r="E64" s="1"/>
      <c r="F64" s="1"/>
    </row>
    <row r="65" spans="1:6" customFormat="1" x14ac:dyDescent="0.4">
      <c r="A65" s="2"/>
      <c r="B65" s="1"/>
      <c r="C65" s="7"/>
      <c r="D65" s="8"/>
      <c r="E65" s="1"/>
      <c r="F65" s="1"/>
    </row>
    <row r="66" spans="1:6" customFormat="1" x14ac:dyDescent="0.4">
      <c r="A66" s="2"/>
      <c r="B66" s="1"/>
      <c r="C66" s="7"/>
      <c r="D66" s="8"/>
      <c r="E66" s="1"/>
      <c r="F66" s="1"/>
    </row>
    <row r="67" spans="1:6" customFormat="1" x14ac:dyDescent="0.4">
      <c r="A67" s="2"/>
      <c r="B67" s="1"/>
      <c r="C67" s="7"/>
      <c r="D67" s="8"/>
      <c r="E67" s="1"/>
      <c r="F67" s="1"/>
    </row>
    <row r="68" spans="1:6" customFormat="1" x14ac:dyDescent="0.4">
      <c r="A68" s="2"/>
      <c r="B68" s="1"/>
      <c r="C68" s="7"/>
      <c r="D68" s="8"/>
      <c r="E68" s="1"/>
      <c r="F68" s="1"/>
    </row>
    <row r="69" spans="1:6" customFormat="1" x14ac:dyDescent="0.4">
      <c r="A69" s="2"/>
      <c r="B69" s="1"/>
      <c r="C69" s="7"/>
      <c r="D69" s="8"/>
      <c r="E69" s="1"/>
      <c r="F69" s="1"/>
    </row>
    <row r="70" spans="1:6" customFormat="1" x14ac:dyDescent="0.4">
      <c r="A70" s="2"/>
      <c r="B70" s="1"/>
      <c r="C70" s="7"/>
      <c r="D70" s="8"/>
      <c r="E70" s="1"/>
      <c r="F70" s="1"/>
    </row>
    <row r="71" spans="1:6" customFormat="1" x14ac:dyDescent="0.4">
      <c r="A71" s="2"/>
      <c r="B71" s="1"/>
      <c r="C71" s="7"/>
      <c r="D71" s="8"/>
      <c r="E71" s="1"/>
      <c r="F71" s="1"/>
    </row>
    <row r="72" spans="1:6" customFormat="1" x14ac:dyDescent="0.4">
      <c r="A72" s="2"/>
      <c r="B72" s="1"/>
      <c r="C72" s="7"/>
      <c r="D72" s="8"/>
      <c r="E72" s="1"/>
      <c r="F72" s="1"/>
    </row>
    <row r="73" spans="1:6" customFormat="1" x14ac:dyDescent="0.4">
      <c r="A73" s="2"/>
      <c r="B73" s="1"/>
      <c r="C73" s="7"/>
      <c r="D73" s="8"/>
      <c r="E73" s="1"/>
      <c r="F73" s="1"/>
    </row>
    <row r="74" spans="1:6" customFormat="1" x14ac:dyDescent="0.4">
      <c r="A74" s="2"/>
      <c r="B74" s="1"/>
      <c r="C74" s="7"/>
      <c r="D74" s="8"/>
      <c r="E74" s="1"/>
      <c r="F74" s="1"/>
    </row>
    <row r="75" spans="1:6" customFormat="1" x14ac:dyDescent="0.4">
      <c r="A75" s="2"/>
      <c r="B75" s="1"/>
      <c r="C75" s="7"/>
      <c r="D75" s="8"/>
      <c r="E75" s="1"/>
      <c r="F75" s="1"/>
    </row>
    <row r="76" spans="1:6" customFormat="1" x14ac:dyDescent="0.4">
      <c r="A76" s="2"/>
      <c r="B76" s="1"/>
      <c r="C76" s="7"/>
      <c r="D76" s="8"/>
      <c r="E76" s="1"/>
      <c r="F76" s="1"/>
    </row>
    <row r="77" spans="1:6" customFormat="1" x14ac:dyDescent="0.4">
      <c r="A77" s="2"/>
      <c r="B77" s="1"/>
      <c r="C77" s="7"/>
      <c r="D77" s="8"/>
      <c r="E77" s="1"/>
      <c r="F77" s="1"/>
    </row>
    <row r="78" spans="1:6" customFormat="1" x14ac:dyDescent="0.4">
      <c r="A78" s="2"/>
      <c r="B78" s="1"/>
      <c r="C78" s="7"/>
      <c r="D78" s="8"/>
      <c r="E78" s="1"/>
      <c r="F78" s="1"/>
    </row>
    <row r="79" spans="1:6" customFormat="1" x14ac:dyDescent="0.4">
      <c r="A79" s="2"/>
      <c r="B79" s="1"/>
      <c r="C79" s="7"/>
      <c r="D79" s="8"/>
      <c r="E79" s="1"/>
      <c r="F79" s="1"/>
    </row>
    <row r="80" spans="1:6" customFormat="1" x14ac:dyDescent="0.4">
      <c r="A80" s="2"/>
      <c r="B80" s="1"/>
      <c r="C80" s="7"/>
      <c r="D80" s="8"/>
      <c r="E80" s="1"/>
      <c r="F80" s="1"/>
    </row>
    <row r="81" spans="1:6" customFormat="1" x14ac:dyDescent="0.4">
      <c r="A81" s="2"/>
      <c r="B81" s="1"/>
      <c r="C81" s="7"/>
      <c r="D81" s="8"/>
      <c r="E81" s="1"/>
      <c r="F81" s="1"/>
    </row>
    <row r="82" spans="1:6" customFormat="1" x14ac:dyDescent="0.4">
      <c r="A82" s="2"/>
      <c r="B82" s="1"/>
      <c r="C82" s="7"/>
      <c r="D82" s="8"/>
      <c r="E82" s="1"/>
      <c r="F82" s="1"/>
    </row>
    <row r="83" spans="1:6" customFormat="1" x14ac:dyDescent="0.4">
      <c r="A83" s="2"/>
      <c r="B83" s="1"/>
      <c r="C83" s="7"/>
      <c r="D83" s="8"/>
      <c r="E83" s="1"/>
      <c r="F83" s="1"/>
    </row>
    <row r="84" spans="1:6" customFormat="1" x14ac:dyDescent="0.4">
      <c r="A84" s="2"/>
      <c r="B84" s="1"/>
      <c r="C84" s="7"/>
      <c r="D84" s="8"/>
      <c r="E84" s="1"/>
      <c r="F84" s="1"/>
    </row>
    <row r="85" spans="1:6" customFormat="1" x14ac:dyDescent="0.4">
      <c r="A85" s="2"/>
      <c r="B85" s="1"/>
      <c r="C85" s="7"/>
      <c r="D85" s="8"/>
      <c r="E85" s="1"/>
      <c r="F85" s="1"/>
    </row>
    <row r="86" spans="1:6" customFormat="1" x14ac:dyDescent="0.4">
      <c r="A86" s="2"/>
      <c r="B86" s="1"/>
      <c r="C86" s="7"/>
      <c r="D86" s="8"/>
      <c r="E86" s="1"/>
      <c r="F86" s="1"/>
    </row>
    <row r="87" spans="1:6" customFormat="1" x14ac:dyDescent="0.4">
      <c r="A87" s="2"/>
      <c r="B87" s="1"/>
      <c r="C87" s="7"/>
      <c r="D87" s="8"/>
      <c r="E87" s="1"/>
      <c r="F87" s="1"/>
    </row>
    <row r="88" spans="1:6" customFormat="1" x14ac:dyDescent="0.4">
      <c r="A88" s="2"/>
      <c r="B88" s="1"/>
      <c r="C88" s="7"/>
      <c r="D88" s="8"/>
      <c r="E88" s="1"/>
      <c r="F88" s="1"/>
    </row>
    <row r="89" spans="1:6" customFormat="1" x14ac:dyDescent="0.4">
      <c r="A89" s="2"/>
      <c r="B89" s="1"/>
      <c r="C89" s="7"/>
      <c r="D89" s="8"/>
      <c r="E89" s="1"/>
      <c r="F89" s="1"/>
    </row>
    <row r="90" spans="1:6" customFormat="1" x14ac:dyDescent="0.4">
      <c r="A90" s="2"/>
      <c r="B90" s="1"/>
      <c r="C90" s="7"/>
      <c r="D90" s="8"/>
      <c r="E90" s="1"/>
      <c r="F90" s="1"/>
    </row>
    <row r="91" spans="1:6" customFormat="1" x14ac:dyDescent="0.4">
      <c r="A91" s="2"/>
      <c r="B91" s="1"/>
      <c r="C91" s="7"/>
      <c r="D91" s="8"/>
      <c r="E91" s="1"/>
      <c r="F91" s="1"/>
    </row>
    <row r="92" spans="1:6" customFormat="1" x14ac:dyDescent="0.4">
      <c r="A92" s="2"/>
      <c r="B92" s="1"/>
      <c r="C92" s="7"/>
      <c r="D92" s="8"/>
      <c r="E92" s="1"/>
      <c r="F92" s="1"/>
    </row>
    <row r="93" spans="1:6" customFormat="1" x14ac:dyDescent="0.4">
      <c r="A93" s="2"/>
      <c r="B93" s="1"/>
      <c r="C93" s="7"/>
      <c r="D93" s="8"/>
      <c r="E93" s="1"/>
      <c r="F93" s="1"/>
    </row>
    <row r="94" spans="1:6" customFormat="1" x14ac:dyDescent="0.4">
      <c r="A94" s="2"/>
      <c r="B94" s="1"/>
      <c r="C94" s="7"/>
      <c r="D94" s="8"/>
      <c r="E94" s="1"/>
      <c r="F94" s="1"/>
    </row>
    <row r="95" spans="1:6" customFormat="1" x14ac:dyDescent="0.4">
      <c r="A95" s="2"/>
      <c r="B95" s="1"/>
      <c r="C95" s="7"/>
      <c r="D95" s="8"/>
      <c r="E95" s="1"/>
      <c r="F95" s="1"/>
    </row>
    <row r="96" spans="1:6" customFormat="1" x14ac:dyDescent="0.4">
      <c r="A96" s="2"/>
      <c r="B96" s="1"/>
      <c r="C96" s="7"/>
      <c r="D96" s="8"/>
      <c r="E96" s="1"/>
      <c r="F96" s="1"/>
    </row>
    <row r="97" spans="1:6" customFormat="1" x14ac:dyDescent="0.4">
      <c r="A97" s="2"/>
      <c r="B97" s="1"/>
      <c r="C97" s="7"/>
      <c r="D97" s="8"/>
      <c r="E97" s="1"/>
      <c r="F97" s="1"/>
    </row>
    <row r="98" spans="1:6" customFormat="1" x14ac:dyDescent="0.4">
      <c r="A98" s="2"/>
      <c r="B98" s="1"/>
      <c r="C98" s="7"/>
      <c r="D98" s="8"/>
      <c r="E98" s="1"/>
      <c r="F98" s="1"/>
    </row>
    <row r="99" spans="1:6" customFormat="1" x14ac:dyDescent="0.4">
      <c r="A99" s="2"/>
      <c r="B99" s="1"/>
      <c r="C99" s="7"/>
      <c r="D99" s="8"/>
      <c r="E99" s="1"/>
      <c r="F99" s="1"/>
    </row>
    <row r="100" spans="1:6" customFormat="1" x14ac:dyDescent="0.4">
      <c r="A100" s="2"/>
      <c r="B100" s="1"/>
      <c r="C100" s="7"/>
      <c r="D100" s="8"/>
      <c r="E100" s="1"/>
      <c r="F100" s="1"/>
    </row>
    <row r="101" spans="1:6" customFormat="1" x14ac:dyDescent="0.4">
      <c r="A101" s="2"/>
      <c r="B101" s="1"/>
      <c r="C101" s="7"/>
      <c r="D101" s="8"/>
      <c r="E101" s="1"/>
      <c r="F101" s="1"/>
    </row>
    <row r="102" spans="1:6" customFormat="1" x14ac:dyDescent="0.4">
      <c r="A102" s="2"/>
      <c r="B102" s="1"/>
      <c r="C102" s="7"/>
      <c r="D102" s="8"/>
      <c r="E102" s="1"/>
      <c r="F102" s="1"/>
    </row>
    <row r="103" spans="1:6" customFormat="1" x14ac:dyDescent="0.4">
      <c r="A103" s="2"/>
      <c r="B103" s="1"/>
      <c r="C103" s="7"/>
      <c r="D103" s="8"/>
      <c r="E103" s="1"/>
      <c r="F103" s="1"/>
    </row>
    <row r="104" spans="1:6" customFormat="1" x14ac:dyDescent="0.4">
      <c r="A104" s="2"/>
      <c r="B104" s="1"/>
      <c r="C104" s="7"/>
      <c r="D104" s="8"/>
      <c r="E104" s="1"/>
      <c r="F104" s="1"/>
    </row>
    <row r="105" spans="1:6" customFormat="1" x14ac:dyDescent="0.4">
      <c r="A105" s="2"/>
      <c r="B105" s="1"/>
      <c r="C105" s="7"/>
      <c r="D105" s="8"/>
      <c r="E105" s="1"/>
      <c r="F105" s="1"/>
    </row>
    <row r="106" spans="1:6" customFormat="1" x14ac:dyDescent="0.4">
      <c r="A106" s="2"/>
      <c r="B106" s="1"/>
      <c r="C106" s="7"/>
      <c r="D106" s="8"/>
      <c r="E106" s="1"/>
      <c r="F106" s="1"/>
    </row>
    <row r="107" spans="1:6" customFormat="1" x14ac:dyDescent="0.4">
      <c r="A107" s="2"/>
      <c r="B107" s="1"/>
      <c r="C107" s="7"/>
      <c r="D107" s="8"/>
      <c r="E107" s="1"/>
      <c r="F107" s="1"/>
    </row>
    <row r="108" spans="1:6" customFormat="1" x14ac:dyDescent="0.4">
      <c r="A108" s="2"/>
      <c r="B108" s="1"/>
      <c r="C108" s="7"/>
      <c r="D108" s="8"/>
      <c r="E108" s="1"/>
      <c r="F108" s="1"/>
    </row>
    <row r="109" spans="1:6" customFormat="1" x14ac:dyDescent="0.4">
      <c r="A109" s="2"/>
      <c r="B109" s="1"/>
      <c r="C109" s="7"/>
      <c r="D109" s="8"/>
      <c r="E109" s="1"/>
      <c r="F109" s="1"/>
    </row>
    <row r="110" spans="1:6" customFormat="1" x14ac:dyDescent="0.4">
      <c r="A110" s="2"/>
      <c r="B110" s="1"/>
      <c r="C110" s="7"/>
      <c r="D110" s="8"/>
      <c r="E110" s="1"/>
      <c r="F110" s="1"/>
    </row>
    <row r="111" spans="1:6" customFormat="1" x14ac:dyDescent="0.4">
      <c r="A111" s="2"/>
      <c r="B111" s="1"/>
      <c r="C111" s="7"/>
      <c r="D111" s="8"/>
      <c r="E111" s="1"/>
      <c r="F111" s="1"/>
    </row>
    <row r="112" spans="1:6" customFormat="1" x14ac:dyDescent="0.4">
      <c r="A112" s="2"/>
      <c r="B112" s="1"/>
      <c r="C112" s="7"/>
      <c r="D112" s="8"/>
      <c r="E112" s="1"/>
      <c r="F112" s="1"/>
    </row>
    <row r="113" spans="1:6" customFormat="1" x14ac:dyDescent="0.4">
      <c r="A113" s="2"/>
      <c r="B113" s="1"/>
      <c r="C113" s="7"/>
      <c r="D113" s="8"/>
      <c r="E113" s="1"/>
      <c r="F113" s="1"/>
    </row>
    <row r="114" spans="1:6" customFormat="1" x14ac:dyDescent="0.4">
      <c r="A114" s="2"/>
      <c r="B114" s="1"/>
      <c r="C114" s="7"/>
      <c r="D114" s="8"/>
      <c r="E114" s="1"/>
      <c r="F114" s="1"/>
    </row>
    <row r="115" spans="1:6" customFormat="1" x14ac:dyDescent="0.4">
      <c r="A115" s="2"/>
      <c r="B115" s="1"/>
      <c r="C115" s="7"/>
      <c r="D115" s="8"/>
      <c r="E115" s="1"/>
      <c r="F115" s="1"/>
    </row>
  </sheetData>
  <sheetProtection insertColumns="0" insertRows="0" deleteRows="0"/>
  <mergeCells count="6">
    <mergeCell ref="A13:F13"/>
    <mergeCell ref="A1:F1"/>
    <mergeCell ref="A2:F2"/>
    <mergeCell ref="A3:F3"/>
    <mergeCell ref="B5:E5"/>
    <mergeCell ref="B8:E8"/>
  </mergeCells>
  <printOptions horizontalCentered="1"/>
  <pageMargins left="0.25" right="0.25" top="0.75" bottom="0.75" header="0.3" footer="0.3"/>
  <pageSetup scale="77" fitToHeight="0" orientation="landscape" r:id="rId1"/>
  <headerFooter>
    <oddHeader>&amp;C&amp;"-,Bold"&amp;14CUI</oddHeader>
    <oddFooter>&amp;C&amp;"-,Bold"&amp;14CUI</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theme="4" tint="0.79998168889431442"/>
  </sheetPr>
  <dimension ref="A1:V1010"/>
  <sheetViews>
    <sheetView topLeftCell="M1" workbookViewId="0">
      <pane ySplit="1" topLeftCell="A605" activePane="bottomLeft" state="frozen"/>
      <selection activeCell="L12" sqref="L12"/>
      <selection pane="bottomLeft" activeCell="O628" sqref="O628"/>
    </sheetView>
  </sheetViews>
  <sheetFormatPr defaultColWidth="8.69140625" defaultRowHeight="14.6" x14ac:dyDescent="0.4"/>
  <cols>
    <col min="1" max="1" width="38.3828125" customWidth="1"/>
    <col min="2" max="2" width="20.3828125" customWidth="1"/>
    <col min="5" max="5" width="14.69140625" bestFit="1" customWidth="1"/>
    <col min="8" max="8" width="70.3828125" customWidth="1"/>
    <col min="9" max="9" width="16.3046875" customWidth="1"/>
    <col min="12" max="12" width="13.3828125" style="16" bestFit="1" customWidth="1"/>
    <col min="13" max="13" width="66" bestFit="1" customWidth="1"/>
    <col min="14" max="14" width="66" customWidth="1"/>
    <col min="15" max="15" width="84.53515625" style="377" customWidth="1"/>
    <col min="17" max="17" width="14.3046875" style="16" customWidth="1"/>
    <col min="18" max="18" width="12" style="16" customWidth="1"/>
    <col min="19" max="19" width="16.3828125" style="16" customWidth="1"/>
    <col min="20" max="21" width="12.3046875" style="16" customWidth="1"/>
    <col min="22" max="22" width="13.69140625" style="16" customWidth="1"/>
    <col min="24" max="24" width="38.3828125" customWidth="1"/>
  </cols>
  <sheetData>
    <row r="1" spans="1:22" x14ac:dyDescent="0.4">
      <c r="A1" s="24" t="s">
        <v>22</v>
      </c>
      <c r="B1" s="24" t="s">
        <v>236</v>
      </c>
      <c r="E1" s="24" t="s">
        <v>32</v>
      </c>
      <c r="H1" s="29" t="s">
        <v>237</v>
      </c>
      <c r="I1" s="30" t="s">
        <v>226</v>
      </c>
      <c r="L1" s="29" t="s">
        <v>238</v>
      </c>
      <c r="M1" s="29" t="s">
        <v>239</v>
      </c>
      <c r="N1" s="29" t="s">
        <v>240</v>
      </c>
      <c r="O1" s="29" t="s">
        <v>241</v>
      </c>
      <c r="P1" t="s">
        <v>242</v>
      </c>
      <c r="Q1" s="18" t="s">
        <v>243</v>
      </c>
      <c r="R1" s="19" t="s">
        <v>244</v>
      </c>
      <c r="S1" s="19" t="s">
        <v>245</v>
      </c>
      <c r="T1" s="19" t="s">
        <v>246</v>
      </c>
      <c r="U1" s="20" t="s">
        <v>247</v>
      </c>
      <c r="V1" s="19" t="s">
        <v>248</v>
      </c>
    </row>
    <row r="2" spans="1:22" ht="15.9" x14ac:dyDescent="0.45">
      <c r="A2" t="s">
        <v>249</v>
      </c>
      <c r="B2">
        <v>300</v>
      </c>
      <c r="E2" t="s">
        <v>250</v>
      </c>
      <c r="H2" s="348" t="s">
        <v>251</v>
      </c>
      <c r="I2" s="349" t="s">
        <v>103</v>
      </c>
      <c r="L2" s="350">
        <v>111111</v>
      </c>
      <c r="M2" s="351" t="s">
        <v>3945</v>
      </c>
      <c r="N2" s="352" t="s">
        <v>3687</v>
      </c>
      <c r="O2" s="352" t="s">
        <v>253</v>
      </c>
      <c r="P2" t="s">
        <v>242</v>
      </c>
      <c r="Q2" s="21">
        <v>0</v>
      </c>
      <c r="R2" s="353"/>
      <c r="S2" s="353"/>
      <c r="T2" s="353"/>
      <c r="U2" s="353"/>
      <c r="V2" s="21">
        <v>0</v>
      </c>
    </row>
    <row r="3" spans="1:22" ht="15.9" x14ac:dyDescent="0.45">
      <c r="A3" t="s">
        <v>254</v>
      </c>
      <c r="B3">
        <v>160</v>
      </c>
      <c r="E3" t="s">
        <v>361</v>
      </c>
      <c r="H3" s="348" t="s">
        <v>62</v>
      </c>
      <c r="I3" s="349">
        <v>8</v>
      </c>
      <c r="L3" s="350">
        <v>111115</v>
      </c>
      <c r="M3" s="351" t="s">
        <v>3947</v>
      </c>
      <c r="N3" s="352" t="s">
        <v>3948</v>
      </c>
      <c r="O3" s="352" t="s">
        <v>257</v>
      </c>
      <c r="P3" t="s">
        <v>242</v>
      </c>
      <c r="Q3" s="21">
        <v>1</v>
      </c>
      <c r="R3" s="21">
        <v>9</v>
      </c>
      <c r="S3" s="21"/>
      <c r="T3" s="21"/>
      <c r="U3" s="21"/>
      <c r="V3" s="21">
        <v>150</v>
      </c>
    </row>
    <row r="4" spans="1:22" ht="15.9" x14ac:dyDescent="0.45">
      <c r="A4" t="s">
        <v>258</v>
      </c>
      <c r="B4">
        <v>140</v>
      </c>
      <c r="E4" t="s">
        <v>255</v>
      </c>
      <c r="H4" s="348" t="s">
        <v>5322</v>
      </c>
      <c r="I4" s="354">
        <v>15</v>
      </c>
      <c r="L4" s="350">
        <v>111310</v>
      </c>
      <c r="M4" s="351" t="s">
        <v>3949</v>
      </c>
      <c r="N4" s="352" t="s">
        <v>3950</v>
      </c>
      <c r="O4" s="352" t="s">
        <v>383</v>
      </c>
      <c r="P4" t="s">
        <v>242</v>
      </c>
      <c r="Q4" s="16">
        <v>10</v>
      </c>
      <c r="R4" s="16">
        <v>49</v>
      </c>
      <c r="S4" s="16">
        <v>10</v>
      </c>
      <c r="T4" s="16">
        <v>150</v>
      </c>
      <c r="U4" s="16">
        <v>0</v>
      </c>
      <c r="V4" s="16">
        <v>150</v>
      </c>
    </row>
    <row r="5" spans="1:22" ht="15.9" x14ac:dyDescent="0.45">
      <c r="A5" t="s">
        <v>263</v>
      </c>
      <c r="B5">
        <v>100</v>
      </c>
      <c r="E5" t="s">
        <v>259</v>
      </c>
      <c r="H5" s="348" t="s">
        <v>5323</v>
      </c>
      <c r="I5" s="354">
        <v>25</v>
      </c>
      <c r="L5" s="350">
        <v>111411</v>
      </c>
      <c r="M5" s="351" t="s">
        <v>3951</v>
      </c>
      <c r="N5" s="352" t="s">
        <v>261</v>
      </c>
      <c r="O5" s="352" t="s">
        <v>262</v>
      </c>
      <c r="P5" t="s">
        <v>242</v>
      </c>
      <c r="Q5" s="16">
        <v>50</v>
      </c>
      <c r="R5" s="16">
        <v>99</v>
      </c>
      <c r="S5" s="16">
        <v>10</v>
      </c>
      <c r="T5" s="16">
        <v>150</v>
      </c>
      <c r="U5" s="16">
        <v>500</v>
      </c>
      <c r="V5" s="16">
        <v>650</v>
      </c>
    </row>
    <row r="6" spans="1:22" ht="31.75" x14ac:dyDescent="0.45">
      <c r="A6" t="s">
        <v>265</v>
      </c>
      <c r="B6">
        <v>65</v>
      </c>
      <c r="E6" t="s">
        <v>264</v>
      </c>
      <c r="H6" s="348" t="s">
        <v>5324</v>
      </c>
      <c r="I6" s="354">
        <v>30</v>
      </c>
      <c r="L6" s="350">
        <v>111500</v>
      </c>
      <c r="M6" s="351" t="s">
        <v>3953</v>
      </c>
      <c r="N6" s="352" t="s">
        <v>3954</v>
      </c>
      <c r="O6" s="352" t="s">
        <v>383</v>
      </c>
      <c r="P6" t="s">
        <v>242</v>
      </c>
      <c r="Q6" s="16">
        <v>100</v>
      </c>
      <c r="R6" s="16">
        <v>149</v>
      </c>
      <c r="S6" s="16">
        <v>20</v>
      </c>
      <c r="T6" s="16">
        <v>300</v>
      </c>
      <c r="U6" s="16">
        <v>1150</v>
      </c>
      <c r="V6" s="16">
        <v>1450</v>
      </c>
    </row>
    <row r="7" spans="1:22" ht="15.9" x14ac:dyDescent="0.45">
      <c r="A7" t="s">
        <v>271</v>
      </c>
      <c r="B7">
        <v>36</v>
      </c>
      <c r="E7" t="s">
        <v>266</v>
      </c>
      <c r="H7" s="348" t="s">
        <v>5325</v>
      </c>
      <c r="I7" s="355" t="s">
        <v>5326</v>
      </c>
      <c r="L7" s="350">
        <v>112210</v>
      </c>
      <c r="M7" s="351" t="s">
        <v>3955</v>
      </c>
      <c r="N7" s="352" t="s">
        <v>3956</v>
      </c>
      <c r="O7" s="352" t="s">
        <v>383</v>
      </c>
      <c r="P7" t="s">
        <v>242</v>
      </c>
      <c r="Q7" s="16">
        <v>150</v>
      </c>
      <c r="R7" s="16">
        <v>249</v>
      </c>
      <c r="S7" s="16">
        <v>30</v>
      </c>
      <c r="T7" s="16">
        <v>450</v>
      </c>
      <c r="U7" s="16">
        <v>1350</v>
      </c>
      <c r="V7" s="16">
        <v>1800</v>
      </c>
    </row>
    <row r="8" spans="1:22" ht="15.9" x14ac:dyDescent="0.45">
      <c r="A8" t="s">
        <v>276</v>
      </c>
      <c r="B8">
        <v>36</v>
      </c>
      <c r="E8" t="s">
        <v>272</v>
      </c>
      <c r="G8" t="s">
        <v>278</v>
      </c>
      <c r="H8" s="348" t="s">
        <v>5327</v>
      </c>
      <c r="I8" s="354">
        <v>20</v>
      </c>
      <c r="L8" s="350">
        <v>112211</v>
      </c>
      <c r="M8" s="351" t="s">
        <v>3957</v>
      </c>
      <c r="N8" s="352" t="s">
        <v>269</v>
      </c>
      <c r="O8" s="352" t="s">
        <v>270</v>
      </c>
      <c r="P8" t="s">
        <v>242</v>
      </c>
      <c r="Q8" s="16">
        <v>250</v>
      </c>
      <c r="R8" s="16">
        <v>349</v>
      </c>
      <c r="S8" s="16">
        <v>40</v>
      </c>
      <c r="T8" s="16">
        <v>600</v>
      </c>
      <c r="U8" s="16">
        <v>1550</v>
      </c>
      <c r="V8" s="16">
        <v>2150</v>
      </c>
    </row>
    <row r="9" spans="1:22" ht="15.9" x14ac:dyDescent="0.45">
      <c r="A9" t="s">
        <v>281</v>
      </c>
      <c r="B9">
        <v>20</v>
      </c>
      <c r="E9" t="s">
        <v>277</v>
      </c>
      <c r="H9" s="348" t="s">
        <v>5328</v>
      </c>
      <c r="I9" s="354">
        <v>20</v>
      </c>
      <c r="L9" s="350">
        <v>113321</v>
      </c>
      <c r="M9" s="351" t="s">
        <v>3958</v>
      </c>
      <c r="N9" s="352" t="s">
        <v>274</v>
      </c>
      <c r="O9" s="352" t="s">
        <v>275</v>
      </c>
      <c r="P9" t="s">
        <v>242</v>
      </c>
      <c r="Q9" s="16">
        <v>350</v>
      </c>
      <c r="R9" s="16">
        <v>449</v>
      </c>
      <c r="S9" s="16">
        <v>50</v>
      </c>
      <c r="T9" s="16">
        <v>750</v>
      </c>
      <c r="U9" s="16">
        <v>1750</v>
      </c>
      <c r="V9" s="16">
        <v>2500</v>
      </c>
    </row>
    <row r="10" spans="1:22" ht="15.9" x14ac:dyDescent="0.45">
      <c r="A10" t="s">
        <v>283</v>
      </c>
      <c r="B10">
        <v>10</v>
      </c>
      <c r="E10" t="s">
        <v>282</v>
      </c>
      <c r="H10" s="348" t="s">
        <v>5329</v>
      </c>
      <c r="I10" s="349">
        <v>535</v>
      </c>
      <c r="L10" s="350">
        <v>116116</v>
      </c>
      <c r="M10" s="351" t="s">
        <v>3960</v>
      </c>
      <c r="N10" s="352" t="s">
        <v>279</v>
      </c>
      <c r="O10" s="352" t="s">
        <v>280</v>
      </c>
      <c r="P10" t="s">
        <v>242</v>
      </c>
      <c r="Q10" s="16">
        <v>450</v>
      </c>
      <c r="R10" s="16">
        <v>549</v>
      </c>
      <c r="S10" s="16">
        <v>60</v>
      </c>
      <c r="T10" s="16">
        <v>900</v>
      </c>
      <c r="U10" s="16">
        <v>1950</v>
      </c>
      <c r="V10" s="16">
        <v>2850</v>
      </c>
    </row>
    <row r="11" spans="1:22" ht="15.9" x14ac:dyDescent="0.45">
      <c r="E11" t="s">
        <v>284</v>
      </c>
      <c r="H11" s="348" t="s">
        <v>5330</v>
      </c>
      <c r="I11" s="349">
        <v>690</v>
      </c>
      <c r="L11" s="351">
        <v>116150</v>
      </c>
      <c r="M11" s="351" t="s">
        <v>3962</v>
      </c>
      <c r="N11" s="352" t="s">
        <v>3964</v>
      </c>
      <c r="O11" s="352" t="s">
        <v>383</v>
      </c>
      <c r="P11" t="s">
        <v>242</v>
      </c>
      <c r="Q11" s="16">
        <v>550</v>
      </c>
      <c r="R11" s="16">
        <v>649</v>
      </c>
      <c r="S11" s="16">
        <v>70</v>
      </c>
      <c r="T11" s="16">
        <v>1050</v>
      </c>
      <c r="U11" s="16">
        <v>2150</v>
      </c>
      <c r="V11" s="16">
        <v>3200</v>
      </c>
    </row>
    <row r="12" spans="1:22" ht="15.9" x14ac:dyDescent="0.45">
      <c r="A12" t="s">
        <v>291</v>
      </c>
      <c r="E12" t="s">
        <v>288</v>
      </c>
      <c r="H12" s="348" t="s">
        <v>5331</v>
      </c>
      <c r="I12" s="349">
        <v>535</v>
      </c>
      <c r="L12" s="350">
        <v>116401</v>
      </c>
      <c r="M12" s="351" t="s">
        <v>3965</v>
      </c>
      <c r="N12" s="352" t="s">
        <v>3966</v>
      </c>
      <c r="O12" s="352" t="s">
        <v>3688</v>
      </c>
      <c r="P12" t="s">
        <v>242</v>
      </c>
      <c r="Q12" s="16">
        <v>650</v>
      </c>
      <c r="R12" s="16">
        <v>749</v>
      </c>
      <c r="S12" s="16">
        <v>80</v>
      </c>
      <c r="T12" s="16">
        <v>1200</v>
      </c>
      <c r="U12" s="16">
        <v>2350</v>
      </c>
      <c r="V12" s="16">
        <v>3550</v>
      </c>
    </row>
    <row r="13" spans="1:22" ht="15.9" x14ac:dyDescent="0.45">
      <c r="A13" t="s">
        <v>295</v>
      </c>
      <c r="B13" t="s">
        <v>22</v>
      </c>
      <c r="E13" t="s">
        <v>292</v>
      </c>
      <c r="H13" s="348" t="s">
        <v>5332</v>
      </c>
      <c r="I13" s="349">
        <v>690</v>
      </c>
      <c r="L13" s="350">
        <v>116402</v>
      </c>
      <c r="M13" s="351" t="s">
        <v>3967</v>
      </c>
      <c r="N13" s="352" t="s">
        <v>286</v>
      </c>
      <c r="O13" s="352" t="s">
        <v>287</v>
      </c>
      <c r="P13" t="s">
        <v>242</v>
      </c>
      <c r="Q13" s="16">
        <v>750</v>
      </c>
      <c r="R13" s="16">
        <v>849</v>
      </c>
      <c r="S13" s="16">
        <v>90</v>
      </c>
      <c r="T13" s="16">
        <v>1350</v>
      </c>
      <c r="U13" s="16">
        <v>2550</v>
      </c>
      <c r="V13" s="16">
        <v>3900</v>
      </c>
    </row>
    <row r="14" spans="1:22" ht="15.9" x14ac:dyDescent="0.45">
      <c r="A14" t="s">
        <v>299</v>
      </c>
      <c r="B14" t="s">
        <v>258</v>
      </c>
      <c r="E14" t="s">
        <v>296</v>
      </c>
      <c r="H14" s="348" t="s">
        <v>5333</v>
      </c>
      <c r="I14" s="349">
        <v>535</v>
      </c>
      <c r="L14" s="350">
        <v>116642</v>
      </c>
      <c r="M14" s="351" t="s">
        <v>3968</v>
      </c>
      <c r="N14" s="352" t="s">
        <v>289</v>
      </c>
      <c r="O14" s="352" t="s">
        <v>290</v>
      </c>
      <c r="P14" t="s">
        <v>242</v>
      </c>
      <c r="Q14" s="16">
        <v>850</v>
      </c>
      <c r="R14" s="16">
        <v>949</v>
      </c>
      <c r="S14" s="16">
        <v>100</v>
      </c>
      <c r="T14" s="16">
        <v>1500</v>
      </c>
      <c r="U14" s="16">
        <v>2750</v>
      </c>
      <c r="V14" s="16">
        <v>4250</v>
      </c>
    </row>
    <row r="15" spans="1:22" ht="15.9" x14ac:dyDescent="0.45">
      <c r="A15" t="s">
        <v>304</v>
      </c>
      <c r="B15" t="s">
        <v>258</v>
      </c>
      <c r="E15" t="s">
        <v>300</v>
      </c>
      <c r="H15" s="348" t="s">
        <v>5334</v>
      </c>
      <c r="I15" s="349">
        <v>690</v>
      </c>
      <c r="L15" s="350">
        <v>116661</v>
      </c>
      <c r="M15" s="351" t="s">
        <v>3970</v>
      </c>
      <c r="N15" s="352" t="s">
        <v>293</v>
      </c>
      <c r="O15" s="352" t="s">
        <v>294</v>
      </c>
      <c r="P15" t="s">
        <v>242</v>
      </c>
      <c r="Q15" s="16">
        <v>950</v>
      </c>
      <c r="R15" s="16">
        <v>1049</v>
      </c>
      <c r="S15" s="16">
        <v>110</v>
      </c>
      <c r="T15" s="16">
        <v>1650</v>
      </c>
      <c r="U15" s="16">
        <v>2950</v>
      </c>
      <c r="V15" s="16">
        <v>4600</v>
      </c>
    </row>
    <row r="16" spans="1:22" ht="15.9" x14ac:dyDescent="0.45">
      <c r="A16" t="s">
        <v>308</v>
      </c>
      <c r="B16" t="s">
        <v>263</v>
      </c>
      <c r="E16" t="s">
        <v>305</v>
      </c>
      <c r="H16" s="348" t="s">
        <v>5335</v>
      </c>
      <c r="I16" s="349">
        <v>535</v>
      </c>
      <c r="L16" s="350">
        <v>116662</v>
      </c>
      <c r="M16" s="351" t="s">
        <v>3971</v>
      </c>
      <c r="N16" s="352" t="s">
        <v>297</v>
      </c>
      <c r="O16" s="352" t="s">
        <v>298</v>
      </c>
      <c r="P16" t="s">
        <v>242</v>
      </c>
      <c r="Q16" s="16">
        <v>1050</v>
      </c>
      <c r="R16" s="16">
        <v>1149</v>
      </c>
      <c r="S16" s="16">
        <v>120</v>
      </c>
      <c r="T16" s="16">
        <v>1800</v>
      </c>
      <c r="U16" s="16">
        <v>3150</v>
      </c>
      <c r="V16" s="16">
        <v>4950</v>
      </c>
    </row>
    <row r="17" spans="1:22" ht="15.9" x14ac:dyDescent="0.45">
      <c r="A17" t="s">
        <v>310</v>
      </c>
      <c r="B17" t="s">
        <v>258</v>
      </c>
      <c r="E17" t="s">
        <v>311</v>
      </c>
      <c r="H17" s="348" t="s">
        <v>5336</v>
      </c>
      <c r="I17" s="349">
        <v>690</v>
      </c>
      <c r="L17" s="350">
        <v>116663</v>
      </c>
      <c r="M17" s="351" t="s">
        <v>3972</v>
      </c>
      <c r="N17" s="352" t="s">
        <v>302</v>
      </c>
      <c r="O17" s="352" t="s">
        <v>303</v>
      </c>
      <c r="P17" t="s">
        <v>242</v>
      </c>
      <c r="Q17" s="16">
        <v>1150</v>
      </c>
      <c r="R17" s="16">
        <v>1249</v>
      </c>
      <c r="S17" s="16">
        <v>130</v>
      </c>
      <c r="T17" s="16">
        <v>1950</v>
      </c>
      <c r="U17" s="16">
        <v>3350</v>
      </c>
      <c r="V17" s="16">
        <v>5300</v>
      </c>
    </row>
    <row r="18" spans="1:22" ht="15.9" x14ac:dyDescent="0.45">
      <c r="A18" t="s">
        <v>314</v>
      </c>
      <c r="B18" t="s">
        <v>263</v>
      </c>
      <c r="E18" t="s">
        <v>315</v>
      </c>
      <c r="H18" s="348" t="s">
        <v>5337</v>
      </c>
      <c r="I18" s="349">
        <v>535</v>
      </c>
      <c r="L18" s="350">
        <v>116664</v>
      </c>
      <c r="M18" s="351" t="s">
        <v>3974</v>
      </c>
      <c r="N18" s="352" t="s">
        <v>306</v>
      </c>
      <c r="O18" s="352" t="s">
        <v>307</v>
      </c>
      <c r="P18" t="s">
        <v>242</v>
      </c>
      <c r="Q18" s="16">
        <v>1250</v>
      </c>
      <c r="R18" s="16">
        <v>1349</v>
      </c>
      <c r="S18" s="16">
        <v>140</v>
      </c>
      <c r="T18" s="16">
        <v>2100</v>
      </c>
      <c r="U18" s="16">
        <v>3550</v>
      </c>
      <c r="V18" s="16">
        <v>5650</v>
      </c>
    </row>
    <row r="19" spans="1:22" ht="15.9" x14ac:dyDescent="0.45">
      <c r="A19" s="31" t="s">
        <v>318</v>
      </c>
      <c r="B19" t="s">
        <v>263</v>
      </c>
      <c r="E19" t="s">
        <v>319</v>
      </c>
      <c r="H19" s="348" t="s">
        <v>5338</v>
      </c>
      <c r="I19" s="354">
        <v>80</v>
      </c>
      <c r="L19" s="350">
        <v>116665</v>
      </c>
      <c r="M19" s="351" t="s">
        <v>3976</v>
      </c>
      <c r="N19" s="352" t="s">
        <v>3977</v>
      </c>
      <c r="O19" s="352" t="s">
        <v>309</v>
      </c>
      <c r="P19" t="s">
        <v>242</v>
      </c>
      <c r="Q19" s="16">
        <v>1350</v>
      </c>
      <c r="R19" s="16">
        <v>1449</v>
      </c>
      <c r="S19" s="16">
        <v>150</v>
      </c>
      <c r="T19" s="16">
        <v>2250</v>
      </c>
      <c r="U19" s="16">
        <v>3750</v>
      </c>
      <c r="V19" s="16">
        <v>6000</v>
      </c>
    </row>
    <row r="20" spans="1:22" ht="15.9" x14ac:dyDescent="0.45">
      <c r="A20" t="s">
        <v>322</v>
      </c>
      <c r="B20" t="s">
        <v>249</v>
      </c>
      <c r="E20" t="s">
        <v>323</v>
      </c>
      <c r="H20" s="348" t="s">
        <v>5339</v>
      </c>
      <c r="I20" s="354">
        <v>100</v>
      </c>
      <c r="L20" s="350">
        <v>116666</v>
      </c>
      <c r="M20" s="351" t="s">
        <v>3979</v>
      </c>
      <c r="N20" s="352" t="s">
        <v>312</v>
      </c>
      <c r="O20" s="352" t="s">
        <v>313</v>
      </c>
      <c r="P20" t="s">
        <v>242</v>
      </c>
      <c r="Q20" s="16">
        <v>1450</v>
      </c>
      <c r="R20" s="16">
        <v>1549</v>
      </c>
      <c r="S20" s="16">
        <v>160</v>
      </c>
      <c r="T20" s="16">
        <v>2400</v>
      </c>
      <c r="U20" s="16">
        <v>3950</v>
      </c>
      <c r="V20" s="16">
        <v>6350</v>
      </c>
    </row>
    <row r="21" spans="1:22" ht="15.9" x14ac:dyDescent="0.45">
      <c r="A21" t="s">
        <v>326</v>
      </c>
      <c r="B21" t="s">
        <v>249</v>
      </c>
      <c r="E21" t="s">
        <v>327</v>
      </c>
      <c r="H21" s="348" t="s">
        <v>5340</v>
      </c>
      <c r="I21" s="354">
        <v>150</v>
      </c>
      <c r="L21" s="350">
        <v>116667</v>
      </c>
      <c r="M21" s="351" t="s">
        <v>3980</v>
      </c>
      <c r="N21" s="352" t="s">
        <v>316</v>
      </c>
      <c r="O21" s="352" t="s">
        <v>317</v>
      </c>
      <c r="P21" t="s">
        <v>242</v>
      </c>
      <c r="Q21" s="16">
        <v>1550</v>
      </c>
      <c r="R21" s="16">
        <v>1649</v>
      </c>
      <c r="S21" s="16">
        <v>170</v>
      </c>
      <c r="T21" s="16">
        <v>2550</v>
      </c>
      <c r="U21" s="16">
        <v>4150</v>
      </c>
      <c r="V21" s="16">
        <v>6700</v>
      </c>
    </row>
    <row r="22" spans="1:22" ht="15.9" x14ac:dyDescent="0.45">
      <c r="A22" t="s">
        <v>330</v>
      </c>
      <c r="B22" t="s">
        <v>249</v>
      </c>
      <c r="E22" t="s">
        <v>331</v>
      </c>
      <c r="H22" s="348" t="s">
        <v>5341</v>
      </c>
      <c r="I22" s="355" t="s">
        <v>5326</v>
      </c>
      <c r="L22" s="350">
        <v>116668</v>
      </c>
      <c r="M22" s="351" t="s">
        <v>3981</v>
      </c>
      <c r="N22" s="352" t="s">
        <v>320</v>
      </c>
      <c r="O22" s="352" t="s">
        <v>321</v>
      </c>
      <c r="P22" t="s">
        <v>242</v>
      </c>
      <c r="Q22" s="16">
        <v>1650</v>
      </c>
      <c r="R22" s="16">
        <v>1749</v>
      </c>
      <c r="S22" s="16">
        <v>180</v>
      </c>
      <c r="T22" s="16">
        <v>2700</v>
      </c>
      <c r="U22" s="16">
        <v>4350</v>
      </c>
      <c r="V22" s="16">
        <v>7050</v>
      </c>
    </row>
    <row r="23" spans="1:22" ht="15.9" x14ac:dyDescent="0.45">
      <c r="A23" t="s">
        <v>5342</v>
      </c>
      <c r="B23" t="s">
        <v>249</v>
      </c>
      <c r="E23" t="s">
        <v>335</v>
      </c>
      <c r="H23" s="348" t="s">
        <v>5343</v>
      </c>
      <c r="I23" s="349">
        <v>3</v>
      </c>
      <c r="L23" s="350">
        <v>116672</v>
      </c>
      <c r="M23" s="351" t="s">
        <v>3982</v>
      </c>
      <c r="N23" s="352" t="s">
        <v>324</v>
      </c>
      <c r="O23" s="352" t="s">
        <v>325</v>
      </c>
      <c r="P23" t="s">
        <v>242</v>
      </c>
      <c r="Q23" s="16">
        <v>1750</v>
      </c>
      <c r="R23" s="16">
        <v>1849</v>
      </c>
      <c r="S23" s="16">
        <v>190</v>
      </c>
      <c r="T23" s="16">
        <v>2850</v>
      </c>
      <c r="U23" s="16">
        <v>4550</v>
      </c>
      <c r="V23" s="16">
        <v>7400</v>
      </c>
    </row>
    <row r="24" spans="1:22" ht="15.9" x14ac:dyDescent="0.45">
      <c r="A24" t="s">
        <v>334</v>
      </c>
      <c r="B24" t="s">
        <v>258</v>
      </c>
      <c r="E24" t="s">
        <v>340</v>
      </c>
      <c r="H24" s="348" t="s">
        <v>5344</v>
      </c>
      <c r="I24" s="354">
        <v>30</v>
      </c>
      <c r="L24" s="350">
        <v>116922</v>
      </c>
      <c r="M24" s="351" t="s">
        <v>3983</v>
      </c>
      <c r="N24" s="352" t="s">
        <v>328</v>
      </c>
      <c r="O24" s="352" t="s">
        <v>329</v>
      </c>
      <c r="P24" t="s">
        <v>242</v>
      </c>
      <c r="Q24" s="16">
        <v>1850</v>
      </c>
      <c r="R24" s="16">
        <v>1949</v>
      </c>
      <c r="S24" s="16">
        <v>200</v>
      </c>
      <c r="T24" s="16">
        <v>3000</v>
      </c>
      <c r="U24" s="16">
        <v>4750</v>
      </c>
      <c r="V24" s="16">
        <v>7750</v>
      </c>
    </row>
    <row r="25" spans="1:22" ht="15.9" x14ac:dyDescent="0.45">
      <c r="A25" t="s">
        <v>339</v>
      </c>
      <c r="B25" t="s">
        <v>254</v>
      </c>
      <c r="E25" t="s">
        <v>343</v>
      </c>
      <c r="H25" s="348" t="s">
        <v>5345</v>
      </c>
      <c r="I25" s="349" t="s">
        <v>103</v>
      </c>
      <c r="L25" s="350">
        <v>116933</v>
      </c>
      <c r="M25" s="351" t="s">
        <v>3984</v>
      </c>
      <c r="N25" s="352" t="s">
        <v>332</v>
      </c>
      <c r="O25" s="352" t="s">
        <v>333</v>
      </c>
      <c r="P25" t="s">
        <v>242</v>
      </c>
      <c r="Q25" s="16">
        <v>1950</v>
      </c>
      <c r="R25" s="16">
        <v>2049</v>
      </c>
      <c r="S25" s="16">
        <v>210</v>
      </c>
      <c r="T25" s="16">
        <v>3150</v>
      </c>
      <c r="U25" s="16">
        <v>4950</v>
      </c>
      <c r="V25" s="16">
        <v>8100</v>
      </c>
    </row>
    <row r="26" spans="1:22" ht="15.9" x14ac:dyDescent="0.45">
      <c r="A26" t="s">
        <v>342</v>
      </c>
      <c r="B26" t="s">
        <v>254</v>
      </c>
      <c r="E26" t="s">
        <v>346</v>
      </c>
      <c r="H26" s="348" t="s">
        <v>301</v>
      </c>
      <c r="I26" s="349">
        <v>40</v>
      </c>
      <c r="L26" s="350">
        <v>116945</v>
      </c>
      <c r="M26" s="351" t="s">
        <v>3985</v>
      </c>
      <c r="N26" s="352" t="s">
        <v>337</v>
      </c>
      <c r="O26" s="352" t="s">
        <v>338</v>
      </c>
      <c r="P26" t="s">
        <v>242</v>
      </c>
      <c r="Q26" s="16">
        <v>2050</v>
      </c>
      <c r="R26" s="16">
        <v>2149</v>
      </c>
      <c r="S26" s="16">
        <v>220</v>
      </c>
      <c r="T26" s="16">
        <v>3300</v>
      </c>
      <c r="U26" s="16">
        <v>5150</v>
      </c>
      <c r="V26" s="16">
        <v>8450</v>
      </c>
    </row>
    <row r="27" spans="1:22" ht="15.9" x14ac:dyDescent="0.45">
      <c r="A27" s="356" t="s">
        <v>5346</v>
      </c>
      <c r="B27" s="356" t="s">
        <v>254</v>
      </c>
      <c r="E27" t="s">
        <v>349</v>
      </c>
      <c r="H27" s="348" t="s">
        <v>5347</v>
      </c>
      <c r="I27" s="349" t="s">
        <v>103</v>
      </c>
      <c r="L27" s="350">
        <v>121111</v>
      </c>
      <c r="M27" s="351" t="s">
        <v>3986</v>
      </c>
      <c r="N27" s="352" t="s">
        <v>3689</v>
      </c>
      <c r="O27" s="352" t="s">
        <v>341</v>
      </c>
      <c r="P27" t="s">
        <v>242</v>
      </c>
    </row>
    <row r="28" spans="1:22" ht="15.9" x14ac:dyDescent="0.45">
      <c r="A28" s="356" t="s">
        <v>5348</v>
      </c>
      <c r="B28" s="356" t="s">
        <v>254</v>
      </c>
      <c r="E28" t="s">
        <v>353</v>
      </c>
      <c r="H28" s="348" t="s">
        <v>5349</v>
      </c>
      <c r="I28" s="349">
        <v>60</v>
      </c>
      <c r="L28" s="350">
        <v>121115</v>
      </c>
      <c r="M28" s="351" t="s">
        <v>3987</v>
      </c>
      <c r="N28" s="352" t="s">
        <v>3988</v>
      </c>
      <c r="O28" s="352" t="s">
        <v>344</v>
      </c>
      <c r="P28" t="s">
        <v>242</v>
      </c>
    </row>
    <row r="29" spans="1:22" ht="15.9" x14ac:dyDescent="0.45">
      <c r="A29" s="356" t="s">
        <v>345</v>
      </c>
      <c r="B29" s="356" t="s">
        <v>249</v>
      </c>
      <c r="E29" t="s">
        <v>364</v>
      </c>
      <c r="H29" s="348" t="s">
        <v>5350</v>
      </c>
      <c r="I29" s="349">
        <v>10</v>
      </c>
      <c r="L29" s="350">
        <v>121122</v>
      </c>
      <c r="M29" s="351" t="s">
        <v>3990</v>
      </c>
      <c r="N29" s="352" t="s">
        <v>3991</v>
      </c>
      <c r="O29" s="352" t="s">
        <v>347</v>
      </c>
      <c r="P29" t="s">
        <v>242</v>
      </c>
      <c r="Q29" s="25" t="s">
        <v>355</v>
      </c>
    </row>
    <row r="30" spans="1:22" ht="15.9" x14ac:dyDescent="0.45">
      <c r="A30" s="356" t="s">
        <v>348</v>
      </c>
      <c r="B30" s="356" t="s">
        <v>249</v>
      </c>
      <c r="E30" t="s">
        <v>367</v>
      </c>
      <c r="H30" s="348" t="s">
        <v>5351</v>
      </c>
      <c r="I30" s="354">
        <v>100</v>
      </c>
      <c r="L30" s="350">
        <v>121124</v>
      </c>
      <c r="M30" s="351" t="s">
        <v>3992</v>
      </c>
      <c r="N30" s="352" t="s">
        <v>3993</v>
      </c>
      <c r="O30" s="352" t="s">
        <v>351</v>
      </c>
      <c r="P30" t="s">
        <v>242</v>
      </c>
      <c r="Q30" s="16" t="s">
        <v>243</v>
      </c>
      <c r="R30" s="16" t="s">
        <v>357</v>
      </c>
      <c r="S30" s="16" t="s">
        <v>358</v>
      </c>
      <c r="U30"/>
      <c r="V30"/>
    </row>
    <row r="31" spans="1:22" ht="15.9" x14ac:dyDescent="0.45">
      <c r="A31" s="356" t="s">
        <v>5352</v>
      </c>
      <c r="B31" s="356" t="s">
        <v>254</v>
      </c>
      <c r="E31" t="s">
        <v>370</v>
      </c>
      <c r="H31" s="348" t="s">
        <v>5353</v>
      </c>
      <c r="I31" s="349">
        <v>100</v>
      </c>
      <c r="L31" s="350">
        <v>122111</v>
      </c>
      <c r="M31" s="351" t="s">
        <v>3994</v>
      </c>
      <c r="N31" s="352" t="s">
        <v>3995</v>
      </c>
      <c r="O31" s="352" t="s">
        <v>354</v>
      </c>
      <c r="P31" t="s">
        <v>242</v>
      </c>
      <c r="Q31" s="16">
        <v>0</v>
      </c>
      <c r="S31" s="16">
        <v>0</v>
      </c>
      <c r="U31"/>
      <c r="V31"/>
    </row>
    <row r="32" spans="1:22" ht="15.9" x14ac:dyDescent="0.45">
      <c r="A32" s="356" t="s">
        <v>5354</v>
      </c>
      <c r="B32" s="356" t="s">
        <v>254</v>
      </c>
      <c r="E32" t="s">
        <v>373</v>
      </c>
      <c r="H32" s="348" t="s">
        <v>336</v>
      </c>
      <c r="I32" s="349" t="s">
        <v>103</v>
      </c>
      <c r="L32" s="350">
        <v>123335</v>
      </c>
      <c r="M32" s="351" t="s">
        <v>3996</v>
      </c>
      <c r="N32" s="352" t="s">
        <v>3997</v>
      </c>
      <c r="O32" s="352" t="s">
        <v>356</v>
      </c>
      <c r="P32" t="s">
        <v>242</v>
      </c>
      <c r="Q32" s="16">
        <v>1</v>
      </c>
      <c r="R32" s="16">
        <v>10</v>
      </c>
      <c r="S32" s="16">
        <v>80</v>
      </c>
      <c r="U32"/>
      <c r="V32"/>
    </row>
    <row r="33" spans="1:22" ht="15.9" x14ac:dyDescent="0.45">
      <c r="A33" s="356" t="s">
        <v>352</v>
      </c>
      <c r="B33" s="356" t="s">
        <v>249</v>
      </c>
      <c r="E33" t="s">
        <v>377</v>
      </c>
      <c r="H33" s="348" t="s">
        <v>72</v>
      </c>
      <c r="I33" s="349">
        <v>4</v>
      </c>
      <c r="L33" s="350">
        <v>124131</v>
      </c>
      <c r="M33" s="351" t="s">
        <v>3998</v>
      </c>
      <c r="N33" s="352" t="s">
        <v>3999</v>
      </c>
      <c r="O33" s="352" t="s">
        <v>359</v>
      </c>
      <c r="P33" t="s">
        <v>242</v>
      </c>
      <c r="Q33" s="16">
        <v>11</v>
      </c>
      <c r="R33" s="16">
        <v>19</v>
      </c>
      <c r="S33" s="16">
        <v>80</v>
      </c>
      <c r="U33"/>
      <c r="V33"/>
    </row>
    <row r="34" spans="1:22" ht="15.9" x14ac:dyDescent="0.45">
      <c r="A34" s="356" t="s">
        <v>5355</v>
      </c>
      <c r="B34" s="356" t="s">
        <v>249</v>
      </c>
      <c r="E34" t="s">
        <v>381</v>
      </c>
      <c r="H34" s="348" t="s">
        <v>350</v>
      </c>
      <c r="I34" s="349" t="s">
        <v>103</v>
      </c>
      <c r="L34" s="350">
        <v>124132</v>
      </c>
      <c r="M34" s="351" t="s">
        <v>4000</v>
      </c>
      <c r="N34" s="352" t="s">
        <v>4001</v>
      </c>
      <c r="O34" s="352" t="s">
        <v>362</v>
      </c>
      <c r="P34" t="s">
        <v>242</v>
      </c>
      <c r="Q34" s="16">
        <v>20</v>
      </c>
      <c r="R34" s="16">
        <v>39</v>
      </c>
      <c r="S34" s="16">
        <v>160</v>
      </c>
      <c r="U34"/>
      <c r="V34"/>
    </row>
    <row r="35" spans="1:22" ht="15.9" x14ac:dyDescent="0.45">
      <c r="A35" s="356" t="s">
        <v>5356</v>
      </c>
      <c r="B35" s="356" t="s">
        <v>249</v>
      </c>
      <c r="E35" t="s">
        <v>385</v>
      </c>
      <c r="H35" s="348" t="s">
        <v>5357</v>
      </c>
      <c r="I35" s="354" t="s">
        <v>103</v>
      </c>
      <c r="L35" s="350">
        <v>124134</v>
      </c>
      <c r="M35" s="351" t="s">
        <v>4002</v>
      </c>
      <c r="N35" s="352" t="s">
        <v>4003</v>
      </c>
      <c r="O35" s="352" t="s">
        <v>365</v>
      </c>
      <c r="P35" t="s">
        <v>242</v>
      </c>
      <c r="Q35" s="16">
        <v>40</v>
      </c>
      <c r="R35" s="16">
        <v>59</v>
      </c>
      <c r="S35" s="16">
        <v>260</v>
      </c>
      <c r="U35"/>
      <c r="V35"/>
    </row>
    <row r="36" spans="1:22" ht="15.9" x14ac:dyDescent="0.45">
      <c r="A36" s="356" t="s">
        <v>5358</v>
      </c>
      <c r="B36" s="356" t="s">
        <v>249</v>
      </c>
      <c r="E36" t="s">
        <v>386</v>
      </c>
      <c r="H36" s="348" t="s">
        <v>112</v>
      </c>
      <c r="I36" s="349">
        <v>36</v>
      </c>
      <c r="L36" s="350">
        <v>124135</v>
      </c>
      <c r="M36" s="351" t="s">
        <v>4004</v>
      </c>
      <c r="N36" s="352" t="s">
        <v>4005</v>
      </c>
      <c r="O36" s="352" t="s">
        <v>368</v>
      </c>
      <c r="P36" t="s">
        <v>242</v>
      </c>
      <c r="Q36" s="16">
        <v>60</v>
      </c>
      <c r="R36" s="16">
        <v>79</v>
      </c>
      <c r="S36" s="16">
        <v>340</v>
      </c>
      <c r="U36"/>
      <c r="V36"/>
    </row>
    <row r="37" spans="1:22" ht="15.9" x14ac:dyDescent="0.45">
      <c r="A37" s="356" t="s">
        <v>5359</v>
      </c>
      <c r="B37" s="356" t="s">
        <v>254</v>
      </c>
      <c r="E37" t="s">
        <v>387</v>
      </c>
      <c r="H37" s="348" t="s">
        <v>5360</v>
      </c>
      <c r="I37" s="349">
        <v>6</v>
      </c>
      <c r="L37" s="350">
        <v>124137</v>
      </c>
      <c r="M37" s="351" t="s">
        <v>4006</v>
      </c>
      <c r="N37" s="352" t="s">
        <v>4007</v>
      </c>
      <c r="O37" s="352" t="s">
        <v>371</v>
      </c>
      <c r="P37" t="s">
        <v>242</v>
      </c>
      <c r="Q37" s="16">
        <v>80</v>
      </c>
      <c r="R37" s="16">
        <v>99</v>
      </c>
      <c r="S37" s="16">
        <v>420</v>
      </c>
      <c r="U37"/>
      <c r="V37"/>
    </row>
    <row r="38" spans="1:22" ht="15.9" x14ac:dyDescent="0.45">
      <c r="A38" s="356" t="s">
        <v>5361</v>
      </c>
      <c r="B38" s="356" t="s">
        <v>254</v>
      </c>
      <c r="E38" t="s">
        <v>389</v>
      </c>
      <c r="H38" s="348" t="s">
        <v>374</v>
      </c>
      <c r="I38" s="349" t="s">
        <v>103</v>
      </c>
      <c r="L38" s="350">
        <v>124138</v>
      </c>
      <c r="M38" s="351" t="s">
        <v>4008</v>
      </c>
      <c r="N38" s="352" t="s">
        <v>4009</v>
      </c>
      <c r="O38" s="352" t="s">
        <v>375</v>
      </c>
      <c r="P38" t="s">
        <v>242</v>
      </c>
      <c r="Q38" s="16">
        <v>100</v>
      </c>
      <c r="R38" s="16">
        <v>119</v>
      </c>
      <c r="S38" s="16">
        <v>520</v>
      </c>
      <c r="U38"/>
      <c r="V38"/>
    </row>
    <row r="39" spans="1:22" ht="15.9" x14ac:dyDescent="0.45">
      <c r="A39" s="356" t="s">
        <v>5362</v>
      </c>
      <c r="B39" s="356" t="s">
        <v>249</v>
      </c>
      <c r="E39" t="s">
        <v>391</v>
      </c>
      <c r="H39" s="348" t="s">
        <v>5363</v>
      </c>
      <c r="I39" s="349">
        <v>35</v>
      </c>
      <c r="L39" s="350">
        <v>124139</v>
      </c>
      <c r="M39" s="351" t="s">
        <v>4010</v>
      </c>
      <c r="N39" s="352" t="s">
        <v>378</v>
      </c>
      <c r="O39" s="352" t="s">
        <v>379</v>
      </c>
      <c r="P39" t="s">
        <v>242</v>
      </c>
      <c r="Q39" s="16">
        <v>120</v>
      </c>
      <c r="R39" s="16">
        <v>139</v>
      </c>
      <c r="S39" s="16">
        <v>600</v>
      </c>
      <c r="U39"/>
      <c r="V39"/>
    </row>
    <row r="40" spans="1:22" ht="15.9" x14ac:dyDescent="0.45">
      <c r="A40" s="356" t="s">
        <v>5364</v>
      </c>
      <c r="B40" s="356" t="s">
        <v>249</v>
      </c>
      <c r="E40" t="s">
        <v>392</v>
      </c>
      <c r="H40" s="348" t="s">
        <v>5365</v>
      </c>
      <c r="I40" s="349">
        <v>20</v>
      </c>
      <c r="L40" s="350">
        <v>124140</v>
      </c>
      <c r="M40" s="351" t="s">
        <v>4011</v>
      </c>
      <c r="N40" s="352" t="s">
        <v>4012</v>
      </c>
      <c r="O40" s="352" t="s">
        <v>383</v>
      </c>
      <c r="P40" t="s">
        <v>242</v>
      </c>
      <c r="Q40" s="16">
        <v>140</v>
      </c>
      <c r="R40" s="16">
        <v>159</v>
      </c>
      <c r="S40" s="16">
        <v>680</v>
      </c>
      <c r="U40"/>
      <c r="V40"/>
    </row>
    <row r="41" spans="1:22" ht="15.9" x14ac:dyDescent="0.45">
      <c r="A41" s="356" t="s">
        <v>31</v>
      </c>
      <c r="B41" s="356" t="s">
        <v>258</v>
      </c>
      <c r="E41" t="s">
        <v>395</v>
      </c>
      <c r="H41" s="348" t="s">
        <v>382</v>
      </c>
      <c r="I41" s="349">
        <v>0</v>
      </c>
      <c r="L41" s="350">
        <v>124231</v>
      </c>
      <c r="M41" s="351" t="s">
        <v>4013</v>
      </c>
      <c r="N41" s="352" t="s">
        <v>4014</v>
      </c>
      <c r="O41" s="352" t="s">
        <v>383</v>
      </c>
      <c r="P41" t="s">
        <v>242</v>
      </c>
      <c r="Q41" s="16">
        <v>160</v>
      </c>
      <c r="R41" s="16">
        <v>179</v>
      </c>
      <c r="S41" s="16">
        <v>760</v>
      </c>
      <c r="U41"/>
      <c r="V41"/>
    </row>
    <row r="42" spans="1:22" ht="15.9" x14ac:dyDescent="0.45">
      <c r="A42" s="356" t="s">
        <v>34</v>
      </c>
      <c r="B42" s="356" t="s">
        <v>258</v>
      </c>
      <c r="E42" t="s">
        <v>398</v>
      </c>
      <c r="H42" s="348" t="s">
        <v>5366</v>
      </c>
      <c r="I42" s="349">
        <v>20</v>
      </c>
      <c r="L42" s="350">
        <v>124234</v>
      </c>
      <c r="M42" s="351" t="s">
        <v>4015</v>
      </c>
      <c r="N42" s="352" t="s">
        <v>4016</v>
      </c>
      <c r="O42" s="352" t="s">
        <v>383</v>
      </c>
      <c r="P42" t="s">
        <v>242</v>
      </c>
      <c r="Q42" s="16">
        <v>180</v>
      </c>
      <c r="R42" s="16">
        <v>199</v>
      </c>
      <c r="S42" s="16">
        <v>840</v>
      </c>
      <c r="U42"/>
      <c r="V42"/>
    </row>
    <row r="43" spans="1:22" ht="15.9" x14ac:dyDescent="0.45">
      <c r="A43" s="356" t="s">
        <v>5367</v>
      </c>
      <c r="B43" s="356" t="s">
        <v>254</v>
      </c>
      <c r="E43" t="s">
        <v>400</v>
      </c>
      <c r="H43" s="348" t="s">
        <v>388</v>
      </c>
      <c r="I43" s="349" t="s">
        <v>103</v>
      </c>
      <c r="L43" s="350">
        <v>124235</v>
      </c>
      <c r="M43" s="351" t="s">
        <v>4017</v>
      </c>
      <c r="N43" s="352" t="s">
        <v>4018</v>
      </c>
      <c r="O43" s="352" t="s">
        <v>383</v>
      </c>
      <c r="P43" t="s">
        <v>242</v>
      </c>
      <c r="Q43" s="16">
        <v>200</v>
      </c>
      <c r="R43" s="16">
        <v>219</v>
      </c>
      <c r="S43" s="357">
        <v>1020</v>
      </c>
      <c r="U43"/>
      <c r="V43"/>
    </row>
    <row r="44" spans="1:22" ht="15.9" x14ac:dyDescent="0.45">
      <c r="A44" s="356" t="s">
        <v>5368</v>
      </c>
      <c r="B44" s="356" t="s">
        <v>254</v>
      </c>
      <c r="E44" t="s">
        <v>402</v>
      </c>
      <c r="H44" s="348" t="s">
        <v>5369</v>
      </c>
      <c r="I44" s="354" t="s">
        <v>103</v>
      </c>
      <c r="L44" s="350">
        <v>124237</v>
      </c>
      <c r="M44" s="351" t="s">
        <v>4019</v>
      </c>
      <c r="N44" s="352" t="s">
        <v>4020</v>
      </c>
      <c r="O44" s="352" t="s">
        <v>383</v>
      </c>
      <c r="P44" t="s">
        <v>242</v>
      </c>
      <c r="Q44" s="16">
        <v>220</v>
      </c>
      <c r="R44" s="16">
        <v>239</v>
      </c>
      <c r="S44" s="357">
        <v>1100</v>
      </c>
      <c r="U44"/>
      <c r="V44"/>
    </row>
    <row r="45" spans="1:22" ht="15.9" x14ac:dyDescent="0.45">
      <c r="A45" t="s">
        <v>360</v>
      </c>
      <c r="B45" t="s">
        <v>249</v>
      </c>
      <c r="E45" t="s">
        <v>404</v>
      </c>
      <c r="H45" s="348" t="s">
        <v>5370</v>
      </c>
      <c r="I45" s="349">
        <v>20</v>
      </c>
      <c r="L45" s="350">
        <v>124238</v>
      </c>
      <c r="M45" s="351" t="s">
        <v>4021</v>
      </c>
      <c r="N45" s="352" t="s">
        <v>4022</v>
      </c>
      <c r="O45" s="352" t="s">
        <v>383</v>
      </c>
      <c r="P45" t="s">
        <v>242</v>
      </c>
      <c r="Q45" s="16">
        <v>240</v>
      </c>
      <c r="R45" s="16">
        <v>259</v>
      </c>
      <c r="S45" s="357">
        <v>1180</v>
      </c>
      <c r="U45"/>
      <c r="V45"/>
    </row>
    <row r="46" spans="1:22" ht="15.9" x14ac:dyDescent="0.45">
      <c r="A46" t="s">
        <v>363</v>
      </c>
      <c r="B46" t="s">
        <v>249</v>
      </c>
      <c r="E46" t="s">
        <v>406</v>
      </c>
      <c r="H46" s="348" t="s">
        <v>70</v>
      </c>
      <c r="I46" s="349">
        <v>60</v>
      </c>
      <c r="L46" s="350">
        <v>124239</v>
      </c>
      <c r="M46" s="351" t="s">
        <v>4023</v>
      </c>
      <c r="N46" s="352" t="s">
        <v>4024</v>
      </c>
      <c r="O46" s="352" t="s">
        <v>383</v>
      </c>
      <c r="P46" t="s">
        <v>242</v>
      </c>
      <c r="Q46" s="16">
        <v>260</v>
      </c>
      <c r="R46" s="16">
        <v>279</v>
      </c>
      <c r="S46" s="357">
        <v>1260</v>
      </c>
      <c r="U46"/>
      <c r="V46"/>
    </row>
    <row r="47" spans="1:22" ht="15.9" x14ac:dyDescent="0.45">
      <c r="A47" t="s">
        <v>366</v>
      </c>
      <c r="B47" t="s">
        <v>263</v>
      </c>
      <c r="E47" t="s">
        <v>409</v>
      </c>
      <c r="H47" t="s">
        <v>242</v>
      </c>
      <c r="I47" s="3" t="s">
        <v>242</v>
      </c>
      <c r="L47" s="350">
        <v>124240</v>
      </c>
      <c r="M47" s="351" t="s">
        <v>4025</v>
      </c>
      <c r="N47" s="352" t="s">
        <v>4026</v>
      </c>
      <c r="O47" s="352" t="s">
        <v>383</v>
      </c>
      <c r="P47" t="s">
        <v>242</v>
      </c>
      <c r="Q47" s="16">
        <v>280</v>
      </c>
      <c r="R47" s="16">
        <v>299</v>
      </c>
      <c r="S47" s="357">
        <v>1340</v>
      </c>
      <c r="U47"/>
      <c r="V47"/>
    </row>
    <row r="48" spans="1:22" ht="15.9" x14ac:dyDescent="0.45">
      <c r="A48" t="s">
        <v>369</v>
      </c>
      <c r="B48" t="s">
        <v>249</v>
      </c>
      <c r="E48" t="s">
        <v>411</v>
      </c>
      <c r="L48" s="350">
        <v>124340</v>
      </c>
      <c r="M48" s="351" t="s">
        <v>4027</v>
      </c>
      <c r="N48" s="352" t="s">
        <v>4028</v>
      </c>
      <c r="O48" s="352" t="s">
        <v>393</v>
      </c>
      <c r="P48" t="s">
        <v>242</v>
      </c>
      <c r="Q48" s="16">
        <v>300</v>
      </c>
      <c r="R48" s="16">
        <v>319</v>
      </c>
      <c r="S48" s="357">
        <v>1520</v>
      </c>
      <c r="U48"/>
      <c r="V48"/>
    </row>
    <row r="49" spans="1:22" ht="15.9" x14ac:dyDescent="0.45">
      <c r="A49" t="s">
        <v>372</v>
      </c>
      <c r="B49" t="s">
        <v>249</v>
      </c>
      <c r="E49" t="s">
        <v>413</v>
      </c>
      <c r="L49" s="350">
        <v>124341</v>
      </c>
      <c r="M49" s="351" t="s">
        <v>4029</v>
      </c>
      <c r="N49" s="352" t="s">
        <v>4030</v>
      </c>
      <c r="O49" s="352" t="s">
        <v>396</v>
      </c>
      <c r="P49" t="s">
        <v>242</v>
      </c>
      <c r="Q49" s="16">
        <v>320</v>
      </c>
      <c r="R49" s="16">
        <v>339</v>
      </c>
      <c r="S49" s="357">
        <v>1600</v>
      </c>
      <c r="U49"/>
      <c r="V49"/>
    </row>
    <row r="50" spans="1:22" ht="15.9" x14ac:dyDescent="0.45">
      <c r="A50" t="s">
        <v>376</v>
      </c>
      <c r="B50" t="s">
        <v>254</v>
      </c>
      <c r="E50" t="s">
        <v>415</v>
      </c>
      <c r="H50" s="358" t="s">
        <v>5371</v>
      </c>
      <c r="L50" s="350">
        <v>124342</v>
      </c>
      <c r="M50" s="351" t="s">
        <v>4031</v>
      </c>
      <c r="N50" s="352" t="s">
        <v>4032</v>
      </c>
      <c r="O50" s="352" t="s">
        <v>399</v>
      </c>
      <c r="P50" t="s">
        <v>242</v>
      </c>
      <c r="Q50" s="16">
        <v>340</v>
      </c>
      <c r="R50" s="16">
        <v>359</v>
      </c>
      <c r="S50" s="357">
        <v>1680</v>
      </c>
      <c r="U50"/>
      <c r="V50"/>
    </row>
    <row r="51" spans="1:22" ht="15.9" x14ac:dyDescent="0.45">
      <c r="A51" t="s">
        <v>380</v>
      </c>
      <c r="B51" t="s">
        <v>254</v>
      </c>
      <c r="E51" t="s">
        <v>367</v>
      </c>
      <c r="H51" s="359" t="s">
        <v>5372</v>
      </c>
      <c r="L51" s="350">
        <v>124440</v>
      </c>
      <c r="M51" s="351" t="s">
        <v>4033</v>
      </c>
      <c r="N51" s="352" t="s">
        <v>4034</v>
      </c>
      <c r="O51" s="352" t="s">
        <v>383</v>
      </c>
      <c r="P51" t="s">
        <v>242</v>
      </c>
      <c r="Q51" s="16">
        <v>360</v>
      </c>
      <c r="R51" s="16">
        <v>379</v>
      </c>
      <c r="S51" s="357">
        <v>1760</v>
      </c>
      <c r="U51"/>
      <c r="V51"/>
    </row>
    <row r="52" spans="1:22" ht="15.9" x14ac:dyDescent="0.45">
      <c r="A52" t="s">
        <v>384</v>
      </c>
      <c r="B52" t="s">
        <v>258</v>
      </c>
      <c r="E52" t="s">
        <v>419</v>
      </c>
      <c r="H52" s="360" t="s">
        <v>5373</v>
      </c>
      <c r="L52" s="350">
        <v>124441</v>
      </c>
      <c r="M52" s="351" t="s">
        <v>4035</v>
      </c>
      <c r="N52" s="352" t="s">
        <v>4036</v>
      </c>
      <c r="O52" s="352" t="s">
        <v>383</v>
      </c>
      <c r="P52" t="s">
        <v>242</v>
      </c>
      <c r="Q52" s="16">
        <v>380</v>
      </c>
      <c r="R52" s="16">
        <v>399</v>
      </c>
      <c r="S52" s="357">
        <v>1840</v>
      </c>
      <c r="U52"/>
      <c r="V52"/>
    </row>
    <row r="53" spans="1:22" ht="15.9" x14ac:dyDescent="0.45">
      <c r="A53" t="s">
        <v>35</v>
      </c>
      <c r="B53" t="s">
        <v>263</v>
      </c>
      <c r="E53" t="s">
        <v>421</v>
      </c>
      <c r="H53" s="361" t="s">
        <v>250</v>
      </c>
      <c r="L53" s="350">
        <v>124442</v>
      </c>
      <c r="M53" s="351" t="s">
        <v>4037</v>
      </c>
      <c r="N53" s="352" t="s">
        <v>4038</v>
      </c>
      <c r="O53" s="352" t="s">
        <v>383</v>
      </c>
      <c r="P53" t="s">
        <v>242</v>
      </c>
      <c r="Q53" s="16">
        <v>400</v>
      </c>
      <c r="R53" s="16">
        <v>419</v>
      </c>
      <c r="S53" s="357">
        <v>2020</v>
      </c>
      <c r="U53"/>
      <c r="V53"/>
    </row>
    <row r="54" spans="1:22" ht="15.9" x14ac:dyDescent="0.45">
      <c r="A54" t="s">
        <v>38</v>
      </c>
      <c r="B54" t="s">
        <v>263</v>
      </c>
      <c r="E54" t="s">
        <v>422</v>
      </c>
      <c r="L54" s="350">
        <v>125210</v>
      </c>
      <c r="M54" s="351" t="s">
        <v>4039</v>
      </c>
      <c r="N54" s="352" t="s">
        <v>3690</v>
      </c>
      <c r="O54" s="352" t="s">
        <v>407</v>
      </c>
      <c r="P54" t="s">
        <v>242</v>
      </c>
      <c r="Q54" s="16">
        <v>420</v>
      </c>
      <c r="R54" s="16">
        <v>439</v>
      </c>
      <c r="S54" s="357">
        <v>2100</v>
      </c>
      <c r="U54"/>
      <c r="V54"/>
    </row>
    <row r="55" spans="1:22" ht="15.9" x14ac:dyDescent="0.45">
      <c r="A55" t="s">
        <v>5374</v>
      </c>
      <c r="B55" t="s">
        <v>258</v>
      </c>
      <c r="E55" t="s">
        <v>425</v>
      </c>
      <c r="H55" s="362" t="s">
        <v>5375</v>
      </c>
      <c r="L55" s="350">
        <v>125212</v>
      </c>
      <c r="M55" s="351" t="s">
        <v>4040</v>
      </c>
      <c r="N55" s="352" t="s">
        <v>3691</v>
      </c>
      <c r="O55" s="352" t="s">
        <v>383</v>
      </c>
      <c r="P55" t="s">
        <v>242</v>
      </c>
      <c r="Q55" s="16">
        <v>440</v>
      </c>
      <c r="R55" s="16">
        <v>459</v>
      </c>
      <c r="S55" s="357">
        <v>2180</v>
      </c>
      <c r="U55"/>
      <c r="V55"/>
    </row>
    <row r="56" spans="1:22" ht="15.9" x14ac:dyDescent="0.45">
      <c r="A56" s="31" t="s">
        <v>390</v>
      </c>
      <c r="B56" t="s">
        <v>263</v>
      </c>
      <c r="E56" t="s">
        <v>428</v>
      </c>
      <c r="H56" s="359" t="s">
        <v>5376</v>
      </c>
      <c r="L56" s="350">
        <v>125553</v>
      </c>
      <c r="M56" s="351" t="s">
        <v>4041</v>
      </c>
      <c r="N56" s="352" t="s">
        <v>3692</v>
      </c>
      <c r="O56" s="352" t="s">
        <v>383</v>
      </c>
      <c r="P56" t="s">
        <v>242</v>
      </c>
      <c r="Q56" s="16">
        <v>460</v>
      </c>
      <c r="R56" s="16">
        <v>479</v>
      </c>
      <c r="S56" s="357">
        <v>2260</v>
      </c>
      <c r="U56"/>
      <c r="V56"/>
    </row>
    <row r="57" spans="1:22" ht="15.9" x14ac:dyDescent="0.45">
      <c r="A57" t="s">
        <v>108</v>
      </c>
      <c r="B57" t="s">
        <v>263</v>
      </c>
      <c r="E57" t="s">
        <v>431</v>
      </c>
      <c r="H57" s="360" t="s">
        <v>5377</v>
      </c>
      <c r="L57" s="350">
        <v>125554</v>
      </c>
      <c r="M57" s="351" t="s">
        <v>4042</v>
      </c>
      <c r="N57" s="352" t="s">
        <v>3693</v>
      </c>
      <c r="O57" s="352" t="s">
        <v>414</v>
      </c>
      <c r="P57" t="s">
        <v>242</v>
      </c>
      <c r="Q57" s="16">
        <v>480</v>
      </c>
      <c r="R57" s="16">
        <v>499</v>
      </c>
      <c r="S57" s="357">
        <v>2340</v>
      </c>
      <c r="U57"/>
      <c r="V57"/>
    </row>
    <row r="58" spans="1:22" ht="15.9" x14ac:dyDescent="0.45">
      <c r="A58" s="31" t="s">
        <v>394</v>
      </c>
      <c r="B58" t="s">
        <v>263</v>
      </c>
      <c r="E58" t="s">
        <v>433</v>
      </c>
      <c r="H58" s="361" t="s">
        <v>5378</v>
      </c>
      <c r="L58" s="350">
        <v>125977</v>
      </c>
      <c r="M58" s="351" t="s">
        <v>4043</v>
      </c>
      <c r="N58" s="352" t="s">
        <v>3694</v>
      </c>
      <c r="O58" s="352" t="s">
        <v>416</v>
      </c>
      <c r="P58" t="s">
        <v>242</v>
      </c>
      <c r="Q58" s="16">
        <v>500</v>
      </c>
      <c r="R58" s="16">
        <v>519</v>
      </c>
      <c r="S58" s="357">
        <v>2520</v>
      </c>
      <c r="T58"/>
      <c r="U58"/>
      <c r="V58"/>
    </row>
    <row r="59" spans="1:22" ht="15.9" x14ac:dyDescent="0.45">
      <c r="A59" s="31" t="s">
        <v>397</v>
      </c>
      <c r="B59" t="s">
        <v>263</v>
      </c>
      <c r="E59" t="s">
        <v>436</v>
      </c>
      <c r="H59" t="s">
        <v>5379</v>
      </c>
      <c r="L59" s="350">
        <v>126925</v>
      </c>
      <c r="M59" s="351" t="s">
        <v>4044</v>
      </c>
      <c r="N59" s="352" t="s">
        <v>3695</v>
      </c>
      <c r="O59" s="352" t="s">
        <v>417</v>
      </c>
      <c r="P59" t="s">
        <v>242</v>
      </c>
      <c r="Q59"/>
      <c r="R59"/>
      <c r="S59"/>
      <c r="T59"/>
      <c r="U59"/>
      <c r="V59"/>
    </row>
    <row r="60" spans="1:22" ht="15.9" x14ac:dyDescent="0.45">
      <c r="A60" s="31" t="s">
        <v>5380</v>
      </c>
      <c r="B60" t="s">
        <v>263</v>
      </c>
      <c r="E60" t="s">
        <v>440</v>
      </c>
      <c r="H60" t="s">
        <v>250</v>
      </c>
      <c r="L60" s="350">
        <v>126926</v>
      </c>
      <c r="M60" s="351" t="s">
        <v>4045</v>
      </c>
      <c r="N60" s="352" t="s">
        <v>3696</v>
      </c>
      <c r="O60" s="352" t="s">
        <v>420</v>
      </c>
      <c r="P60" t="s">
        <v>242</v>
      </c>
      <c r="Q60"/>
      <c r="R60"/>
      <c r="S60"/>
      <c r="T60"/>
      <c r="U60"/>
      <c r="V60"/>
    </row>
    <row r="61" spans="1:22" ht="15.9" x14ac:dyDescent="0.45">
      <c r="A61" s="31" t="s">
        <v>5381</v>
      </c>
      <c r="B61" t="s">
        <v>258</v>
      </c>
      <c r="E61" t="s">
        <v>443</v>
      </c>
      <c r="L61" s="350">
        <v>131111</v>
      </c>
      <c r="M61" s="351" t="s">
        <v>4046</v>
      </c>
      <c r="N61" s="352" t="s">
        <v>4047</v>
      </c>
      <c r="O61" s="352" t="s">
        <v>423</v>
      </c>
      <c r="P61" t="s">
        <v>242</v>
      </c>
      <c r="Q61"/>
      <c r="R61"/>
      <c r="S61"/>
      <c r="T61"/>
      <c r="U61"/>
      <c r="V61"/>
    </row>
    <row r="62" spans="1:22" ht="15.9" x14ac:dyDescent="0.45">
      <c r="A62" t="s">
        <v>5382</v>
      </c>
      <c r="B62" t="s">
        <v>263</v>
      </c>
      <c r="E62" t="s">
        <v>446</v>
      </c>
      <c r="H62" t="s">
        <v>5383</v>
      </c>
      <c r="L62" s="350">
        <v>131114</v>
      </c>
      <c r="M62" s="351" t="s">
        <v>4049</v>
      </c>
      <c r="N62" s="352" t="s">
        <v>426</v>
      </c>
      <c r="O62" s="352" t="s">
        <v>427</v>
      </c>
      <c r="P62" t="s">
        <v>242</v>
      </c>
      <c r="Q62"/>
      <c r="R62"/>
      <c r="S62"/>
      <c r="T62"/>
      <c r="U62"/>
      <c r="V62"/>
    </row>
    <row r="63" spans="1:22" ht="15.9" x14ac:dyDescent="0.45">
      <c r="A63" t="s">
        <v>401</v>
      </c>
      <c r="B63" t="s">
        <v>254</v>
      </c>
      <c r="E63" t="s">
        <v>450</v>
      </c>
      <c r="H63" t="s">
        <v>5384</v>
      </c>
      <c r="I63" s="16" t="s">
        <v>5385</v>
      </c>
      <c r="L63" s="350">
        <v>131115</v>
      </c>
      <c r="M63" s="351" t="s">
        <v>4050</v>
      </c>
      <c r="N63" s="352" t="s">
        <v>4051</v>
      </c>
      <c r="O63" s="352" t="s">
        <v>429</v>
      </c>
      <c r="P63" t="s">
        <v>242</v>
      </c>
      <c r="Q63"/>
      <c r="R63"/>
      <c r="S63"/>
      <c r="T63"/>
      <c r="U63"/>
      <c r="V63"/>
    </row>
    <row r="64" spans="1:22" ht="15.9" x14ac:dyDescent="0.45">
      <c r="A64" t="s">
        <v>403</v>
      </c>
      <c r="B64" t="s">
        <v>258</v>
      </c>
      <c r="E64" t="s">
        <v>454</v>
      </c>
      <c r="H64" t="s">
        <v>5386</v>
      </c>
      <c r="I64" s="363">
        <v>0</v>
      </c>
      <c r="L64" s="350">
        <v>131116</v>
      </c>
      <c r="M64" s="351" t="s">
        <v>4052</v>
      </c>
      <c r="N64" s="352" t="s">
        <v>4053</v>
      </c>
      <c r="O64" s="352" t="s">
        <v>432</v>
      </c>
      <c r="P64" t="s">
        <v>242</v>
      </c>
      <c r="Q64"/>
      <c r="R64"/>
      <c r="S64"/>
      <c r="T64"/>
      <c r="U64"/>
      <c r="V64"/>
    </row>
    <row r="65" spans="1:22" ht="15.9" x14ac:dyDescent="0.45">
      <c r="A65" t="s">
        <v>405</v>
      </c>
      <c r="B65" t="s">
        <v>254</v>
      </c>
      <c r="E65" t="s">
        <v>458</v>
      </c>
      <c r="H65" s="25" t="s">
        <v>5387</v>
      </c>
      <c r="I65" s="363">
        <v>0.4</v>
      </c>
      <c r="L65" s="350">
        <v>131117</v>
      </c>
      <c r="M65" s="351" t="s">
        <v>4054</v>
      </c>
      <c r="N65" s="352" t="s">
        <v>4055</v>
      </c>
      <c r="O65" s="352" t="s">
        <v>434</v>
      </c>
      <c r="P65" t="s">
        <v>242</v>
      </c>
      <c r="R65"/>
      <c r="S65"/>
      <c r="T65"/>
      <c r="U65"/>
      <c r="V65"/>
    </row>
    <row r="66" spans="1:22" ht="15.9" x14ac:dyDescent="0.45">
      <c r="A66" t="s">
        <v>408</v>
      </c>
      <c r="B66" t="s">
        <v>258</v>
      </c>
      <c r="E66" t="s">
        <v>461</v>
      </c>
      <c r="I66" s="363"/>
      <c r="L66" s="350">
        <v>131118</v>
      </c>
      <c r="M66" s="351" t="s">
        <v>4056</v>
      </c>
      <c r="N66" s="352" t="s">
        <v>437</v>
      </c>
      <c r="O66" s="352" t="s">
        <v>438</v>
      </c>
      <c r="P66" t="s">
        <v>242</v>
      </c>
      <c r="R66"/>
      <c r="S66"/>
      <c r="T66"/>
      <c r="U66"/>
      <c r="V66"/>
    </row>
    <row r="67" spans="1:22" ht="15.9" x14ac:dyDescent="0.45">
      <c r="A67" t="s">
        <v>410</v>
      </c>
      <c r="B67" t="s">
        <v>263</v>
      </c>
      <c r="E67" t="s">
        <v>465</v>
      </c>
      <c r="L67" s="350">
        <v>131119</v>
      </c>
      <c r="M67" s="351" t="s">
        <v>4057</v>
      </c>
      <c r="N67" s="352" t="s">
        <v>441</v>
      </c>
      <c r="O67" s="352" t="s">
        <v>442</v>
      </c>
      <c r="P67" t="s">
        <v>242</v>
      </c>
      <c r="R67"/>
      <c r="S67"/>
      <c r="T67"/>
      <c r="U67"/>
      <c r="V67"/>
    </row>
    <row r="68" spans="1:22" ht="15.9" x14ac:dyDescent="0.45">
      <c r="A68" t="s">
        <v>412</v>
      </c>
      <c r="B68" t="s">
        <v>263</v>
      </c>
      <c r="E68" t="s">
        <v>468</v>
      </c>
      <c r="L68" s="350">
        <v>131132</v>
      </c>
      <c r="M68" s="351" t="s">
        <v>4058</v>
      </c>
      <c r="N68" s="352" t="s">
        <v>444</v>
      </c>
      <c r="O68" s="352" t="s">
        <v>445</v>
      </c>
      <c r="P68" t="s">
        <v>242</v>
      </c>
      <c r="Q68"/>
      <c r="R68"/>
      <c r="S68"/>
      <c r="T68"/>
      <c r="U68"/>
      <c r="V68"/>
    </row>
    <row r="69" spans="1:22" ht="15.9" x14ac:dyDescent="0.45">
      <c r="E69" t="s">
        <v>472</v>
      </c>
      <c r="L69" s="350">
        <v>131133</v>
      </c>
      <c r="M69" s="351" t="s">
        <v>4059</v>
      </c>
      <c r="N69" s="352" t="s">
        <v>447</v>
      </c>
      <c r="O69" s="352" t="s">
        <v>448</v>
      </c>
      <c r="P69" t="s">
        <v>242</v>
      </c>
      <c r="Q69"/>
      <c r="R69"/>
      <c r="S69"/>
      <c r="T69"/>
      <c r="U69"/>
      <c r="V69"/>
    </row>
    <row r="70" spans="1:22" ht="15.9" x14ac:dyDescent="0.45">
      <c r="A70" t="s">
        <v>418</v>
      </c>
      <c r="E70" t="s">
        <v>476</v>
      </c>
      <c r="L70" s="350">
        <v>131134</v>
      </c>
      <c r="M70" s="351" t="s">
        <v>4061</v>
      </c>
      <c r="N70" s="352" t="s">
        <v>451</v>
      </c>
      <c r="O70" s="352" t="s">
        <v>452</v>
      </c>
      <c r="P70" t="s">
        <v>242</v>
      </c>
      <c r="R70"/>
      <c r="S70"/>
      <c r="T70"/>
      <c r="U70"/>
      <c r="V70"/>
    </row>
    <row r="71" spans="1:22" ht="15.9" x14ac:dyDescent="0.45">
      <c r="A71" s="29" t="s">
        <v>295</v>
      </c>
      <c r="B71" s="29" t="s">
        <v>22</v>
      </c>
      <c r="E71" t="s">
        <v>479</v>
      </c>
      <c r="L71" s="350">
        <v>131135</v>
      </c>
      <c r="M71" s="351" t="s">
        <v>4062</v>
      </c>
      <c r="N71" s="352" t="s">
        <v>455</v>
      </c>
      <c r="O71" s="352" t="s">
        <v>456</v>
      </c>
      <c r="P71" t="s">
        <v>242</v>
      </c>
      <c r="R71"/>
      <c r="S71"/>
      <c r="T71"/>
      <c r="U71"/>
      <c r="V71"/>
    </row>
    <row r="72" spans="1:22" ht="15.9" x14ac:dyDescent="0.45">
      <c r="A72" t="s">
        <v>308</v>
      </c>
      <c r="B72" t="s">
        <v>265</v>
      </c>
      <c r="E72" t="s">
        <v>255</v>
      </c>
      <c r="L72" s="350">
        <v>131136</v>
      </c>
      <c r="M72" s="351" t="s">
        <v>4063</v>
      </c>
      <c r="N72" s="352" t="s">
        <v>459</v>
      </c>
      <c r="O72" s="352" t="s">
        <v>460</v>
      </c>
      <c r="P72" t="s">
        <v>242</v>
      </c>
      <c r="R72"/>
      <c r="S72"/>
      <c r="T72"/>
      <c r="U72"/>
      <c r="V72"/>
    </row>
    <row r="73" spans="1:22" ht="15.9" x14ac:dyDescent="0.45">
      <c r="A73" t="s">
        <v>424</v>
      </c>
      <c r="B73" t="s">
        <v>281</v>
      </c>
      <c r="E73" t="s">
        <v>486</v>
      </c>
      <c r="L73" s="350">
        <v>131137</v>
      </c>
      <c r="M73" s="351" t="s">
        <v>4064</v>
      </c>
      <c r="N73" s="352" t="s">
        <v>462</v>
      </c>
      <c r="O73" s="352" t="s">
        <v>463</v>
      </c>
      <c r="P73" t="s">
        <v>242</v>
      </c>
      <c r="R73"/>
      <c r="S73"/>
      <c r="T73"/>
      <c r="U73"/>
      <c r="V73"/>
    </row>
    <row r="74" spans="1:22" ht="15.9" x14ac:dyDescent="0.45">
      <c r="A74" t="s">
        <v>5388</v>
      </c>
      <c r="B74" t="s">
        <v>271</v>
      </c>
      <c r="E74" t="s">
        <v>489</v>
      </c>
      <c r="L74" s="350">
        <v>131138</v>
      </c>
      <c r="M74" s="351" t="s">
        <v>4065</v>
      </c>
      <c r="N74" s="352" t="s">
        <v>466</v>
      </c>
      <c r="O74" s="352" t="s">
        <v>467</v>
      </c>
      <c r="P74" t="s">
        <v>242</v>
      </c>
      <c r="R74"/>
      <c r="S74"/>
      <c r="T74"/>
      <c r="U74"/>
      <c r="V74"/>
    </row>
    <row r="75" spans="1:22" ht="15.9" x14ac:dyDescent="0.45">
      <c r="A75" t="s">
        <v>430</v>
      </c>
      <c r="B75" t="s">
        <v>276</v>
      </c>
      <c r="E75" t="s">
        <v>490</v>
      </c>
      <c r="H75" t="s">
        <v>5389</v>
      </c>
      <c r="L75" s="350">
        <v>131139</v>
      </c>
      <c r="M75" s="351" t="s">
        <v>4066</v>
      </c>
      <c r="N75" s="352" t="s">
        <v>470</v>
      </c>
      <c r="O75" s="352" t="s">
        <v>471</v>
      </c>
      <c r="P75" t="s">
        <v>242</v>
      </c>
      <c r="R75"/>
      <c r="S75"/>
      <c r="T75"/>
      <c r="U75"/>
      <c r="V75"/>
    </row>
    <row r="76" spans="1:22" ht="15.9" x14ac:dyDescent="0.45">
      <c r="A76" t="s">
        <v>5390</v>
      </c>
      <c r="B76" t="s">
        <v>265</v>
      </c>
      <c r="E76" t="s">
        <v>493</v>
      </c>
      <c r="H76" t="s">
        <v>5391</v>
      </c>
      <c r="I76" s="25" t="s">
        <v>5392</v>
      </c>
      <c r="L76" s="350">
        <v>131143</v>
      </c>
      <c r="M76" s="351" t="s">
        <v>4067</v>
      </c>
      <c r="N76" s="352" t="s">
        <v>474</v>
      </c>
      <c r="O76" s="352" t="s">
        <v>475</v>
      </c>
      <c r="P76" t="s">
        <v>242</v>
      </c>
      <c r="Q76"/>
      <c r="R76"/>
      <c r="S76"/>
      <c r="T76"/>
      <c r="U76"/>
      <c r="V76"/>
    </row>
    <row r="77" spans="1:22" ht="15.9" x14ac:dyDescent="0.45">
      <c r="A77" t="s">
        <v>51</v>
      </c>
      <c r="B77" t="s">
        <v>265</v>
      </c>
      <c r="E77" t="s">
        <v>497</v>
      </c>
      <c r="H77" t="s">
        <v>5393</v>
      </c>
      <c r="I77" s="363">
        <v>0</v>
      </c>
      <c r="L77" s="350">
        <v>131200</v>
      </c>
      <c r="M77" s="351" t="s">
        <v>4068</v>
      </c>
      <c r="N77" s="352" t="s">
        <v>4069</v>
      </c>
      <c r="O77" s="352" t="s">
        <v>477</v>
      </c>
      <c r="P77" t="s">
        <v>242</v>
      </c>
      <c r="Q77"/>
      <c r="R77"/>
      <c r="S77"/>
      <c r="T77"/>
      <c r="U77"/>
      <c r="V77"/>
    </row>
    <row r="78" spans="1:22" ht="15.9" x14ac:dyDescent="0.45">
      <c r="A78" t="s">
        <v>435</v>
      </c>
      <c r="B78" t="s">
        <v>265</v>
      </c>
      <c r="E78" t="s">
        <v>500</v>
      </c>
      <c r="H78" t="s">
        <v>5394</v>
      </c>
      <c r="I78">
        <v>0.25</v>
      </c>
      <c r="L78" s="350">
        <v>131205</v>
      </c>
      <c r="M78" s="351" t="s">
        <v>4071</v>
      </c>
      <c r="N78" s="352" t="s">
        <v>4073</v>
      </c>
      <c r="O78" s="352" t="s">
        <v>383</v>
      </c>
      <c r="P78" t="s">
        <v>242</v>
      </c>
      <c r="Q78"/>
      <c r="R78"/>
      <c r="S78"/>
      <c r="T78"/>
      <c r="U78"/>
      <c r="V78"/>
    </row>
    <row r="79" spans="1:22" ht="15.9" x14ac:dyDescent="0.45">
      <c r="A79" t="s">
        <v>439</v>
      </c>
      <c r="B79" t="s">
        <v>265</v>
      </c>
      <c r="E79" t="s">
        <v>502</v>
      </c>
      <c r="H79" t="s">
        <v>5395</v>
      </c>
      <c r="I79">
        <v>0.15</v>
      </c>
      <c r="L79" s="350">
        <v>131210</v>
      </c>
      <c r="M79" s="351" t="s">
        <v>4074</v>
      </c>
      <c r="N79" s="352" t="s">
        <v>4076</v>
      </c>
      <c r="O79" s="352" t="s">
        <v>383</v>
      </c>
      <c r="P79" t="s">
        <v>242</v>
      </c>
      <c r="Q79"/>
      <c r="R79"/>
      <c r="S79"/>
      <c r="T79"/>
      <c r="U79"/>
      <c r="V79"/>
    </row>
    <row r="80" spans="1:22" ht="15.9" x14ac:dyDescent="0.45">
      <c r="A80" t="s">
        <v>49</v>
      </c>
      <c r="B80" t="s">
        <v>265</v>
      </c>
      <c r="E80" t="s">
        <v>505</v>
      </c>
      <c r="H80" t="s">
        <v>5396</v>
      </c>
      <c r="I80">
        <v>0.42</v>
      </c>
      <c r="L80" s="350">
        <v>132131</v>
      </c>
      <c r="M80" s="351" t="s">
        <v>4077</v>
      </c>
      <c r="N80" s="352" t="s">
        <v>480</v>
      </c>
      <c r="O80" s="352" t="s">
        <v>481</v>
      </c>
      <c r="P80" t="s">
        <v>242</v>
      </c>
      <c r="Q80"/>
      <c r="R80"/>
      <c r="S80"/>
      <c r="T80"/>
      <c r="U80"/>
      <c r="V80"/>
    </row>
    <row r="81" spans="1:22" ht="15.9" x14ac:dyDescent="0.45">
      <c r="A81" t="s">
        <v>449</v>
      </c>
      <c r="B81" t="s">
        <v>271</v>
      </c>
      <c r="E81" t="s">
        <v>508</v>
      </c>
      <c r="I81" s="363"/>
      <c r="L81" s="350">
        <v>132133</v>
      </c>
      <c r="M81" s="351" t="s">
        <v>4078</v>
      </c>
      <c r="N81" s="352" t="s">
        <v>4079</v>
      </c>
      <c r="O81" s="352" t="s">
        <v>483</v>
      </c>
      <c r="P81" t="s">
        <v>242</v>
      </c>
      <c r="Q81"/>
      <c r="R81"/>
      <c r="S81"/>
      <c r="T81"/>
      <c r="U81"/>
      <c r="V81"/>
    </row>
    <row r="82" spans="1:22" ht="15.9" x14ac:dyDescent="0.45">
      <c r="A82" t="s">
        <v>5397</v>
      </c>
      <c r="B82" t="s">
        <v>283</v>
      </c>
      <c r="E82" t="s">
        <v>510</v>
      </c>
      <c r="L82" s="350">
        <v>132134</v>
      </c>
      <c r="M82" s="351" t="s">
        <v>4080</v>
      </c>
      <c r="N82" s="352" t="s">
        <v>484</v>
      </c>
      <c r="O82" s="352" t="s">
        <v>485</v>
      </c>
      <c r="P82" t="s">
        <v>242</v>
      </c>
      <c r="Q82"/>
      <c r="R82"/>
      <c r="S82"/>
      <c r="T82"/>
      <c r="U82"/>
      <c r="V82"/>
    </row>
    <row r="83" spans="1:22" ht="15.9" x14ac:dyDescent="0.45">
      <c r="A83" t="s">
        <v>453</v>
      </c>
      <c r="B83" t="s">
        <v>281</v>
      </c>
      <c r="E83" t="s">
        <v>513</v>
      </c>
      <c r="G83" s="364"/>
      <c r="H83" s="365"/>
      <c r="I83" s="366"/>
      <c r="J83" s="367"/>
      <c r="L83" s="350">
        <v>133101</v>
      </c>
      <c r="M83" s="351" t="s">
        <v>4081</v>
      </c>
      <c r="N83" s="352" t="s">
        <v>487</v>
      </c>
      <c r="O83" s="352" t="s">
        <v>488</v>
      </c>
      <c r="P83" t="s">
        <v>242</v>
      </c>
      <c r="Q83"/>
      <c r="R83"/>
      <c r="S83"/>
      <c r="T83"/>
      <c r="U83"/>
      <c r="V83"/>
    </row>
    <row r="84" spans="1:22" ht="15.9" x14ac:dyDescent="0.45">
      <c r="A84" t="s">
        <v>109</v>
      </c>
      <c r="B84" t="s">
        <v>265</v>
      </c>
      <c r="E84" t="s">
        <v>516</v>
      </c>
      <c r="G84" s="364"/>
      <c r="H84" s="368"/>
      <c r="I84" s="369"/>
      <c r="L84" s="350">
        <v>133200</v>
      </c>
      <c r="M84" s="351" t="s">
        <v>4082</v>
      </c>
      <c r="N84" s="352" t="s">
        <v>4083</v>
      </c>
      <c r="O84" s="352" t="s">
        <v>383</v>
      </c>
      <c r="P84" t="s">
        <v>242</v>
      </c>
      <c r="Q84"/>
      <c r="R84"/>
      <c r="S84"/>
      <c r="T84"/>
    </row>
    <row r="85" spans="1:22" ht="15.9" x14ac:dyDescent="0.45">
      <c r="A85" t="s">
        <v>457</v>
      </c>
      <c r="B85" t="s">
        <v>265</v>
      </c>
      <c r="E85" t="s">
        <v>519</v>
      </c>
      <c r="G85" s="364"/>
      <c r="H85" s="368"/>
      <c r="I85" s="369"/>
      <c r="L85" s="350">
        <v>133314</v>
      </c>
      <c r="M85" s="351" t="s">
        <v>4084</v>
      </c>
      <c r="N85" s="352" t="s">
        <v>491</v>
      </c>
      <c r="O85" s="352" t="s">
        <v>492</v>
      </c>
      <c r="P85" t="s">
        <v>242</v>
      </c>
      <c r="Q85"/>
      <c r="R85"/>
      <c r="S85"/>
      <c r="T85"/>
    </row>
    <row r="86" spans="1:22" ht="15.9" x14ac:dyDescent="0.45">
      <c r="A86" t="s">
        <v>57</v>
      </c>
      <c r="B86" t="s">
        <v>281</v>
      </c>
      <c r="E86" t="s">
        <v>522</v>
      </c>
      <c r="G86" s="364"/>
      <c r="H86" s="368"/>
      <c r="I86" s="369"/>
      <c r="L86" s="350">
        <v>134101</v>
      </c>
      <c r="M86" s="351" t="s">
        <v>4085</v>
      </c>
      <c r="N86" s="352" t="s">
        <v>495</v>
      </c>
      <c r="O86" s="352" t="s">
        <v>496</v>
      </c>
      <c r="P86" t="s">
        <v>242</v>
      </c>
      <c r="Q86"/>
      <c r="R86"/>
      <c r="S86"/>
      <c r="T86"/>
    </row>
    <row r="87" spans="1:22" ht="15.9" x14ac:dyDescent="0.45">
      <c r="A87" t="s">
        <v>464</v>
      </c>
      <c r="B87" t="s">
        <v>276</v>
      </c>
      <c r="E87" t="s">
        <v>526</v>
      </c>
      <c r="L87" s="350">
        <v>134102</v>
      </c>
      <c r="M87" s="351" t="s">
        <v>4086</v>
      </c>
      <c r="N87" s="352" t="s">
        <v>498</v>
      </c>
      <c r="O87" s="352" t="s">
        <v>499</v>
      </c>
      <c r="P87" t="s">
        <v>242</v>
      </c>
      <c r="Q87"/>
      <c r="R87"/>
      <c r="S87"/>
      <c r="T87"/>
    </row>
    <row r="88" spans="1:22" ht="15.9" x14ac:dyDescent="0.45">
      <c r="A88" t="s">
        <v>5398</v>
      </c>
      <c r="B88" t="s">
        <v>281</v>
      </c>
      <c r="E88" t="s">
        <v>529</v>
      </c>
      <c r="L88" s="350">
        <v>134103</v>
      </c>
      <c r="M88" s="351" t="s">
        <v>4087</v>
      </c>
      <c r="N88" s="352" t="s">
        <v>3697</v>
      </c>
      <c r="O88" s="352" t="s">
        <v>501</v>
      </c>
      <c r="P88" t="s">
        <v>242</v>
      </c>
      <c r="Q88"/>
      <c r="R88"/>
      <c r="S88"/>
      <c r="T88"/>
    </row>
    <row r="89" spans="1:22" ht="15.9" x14ac:dyDescent="0.45">
      <c r="A89" t="s">
        <v>52</v>
      </c>
      <c r="B89" t="s">
        <v>265</v>
      </c>
      <c r="E89" t="s">
        <v>532</v>
      </c>
      <c r="L89" s="350">
        <v>134119</v>
      </c>
      <c r="M89" s="351" t="s">
        <v>4088</v>
      </c>
      <c r="N89" s="352" t="s">
        <v>503</v>
      </c>
      <c r="O89" s="352" t="s">
        <v>504</v>
      </c>
      <c r="P89" t="s">
        <v>242</v>
      </c>
      <c r="Q89"/>
      <c r="R89"/>
      <c r="S89"/>
      <c r="T89"/>
    </row>
    <row r="90" spans="1:22" ht="15.9" x14ac:dyDescent="0.45">
      <c r="A90" t="s">
        <v>5399</v>
      </c>
      <c r="B90" t="s">
        <v>276</v>
      </c>
      <c r="E90" t="s">
        <v>534</v>
      </c>
      <c r="I90" s="363"/>
      <c r="L90" s="350">
        <v>134335</v>
      </c>
      <c r="M90" s="351" t="s">
        <v>4089</v>
      </c>
      <c r="N90" s="352" t="s">
        <v>506</v>
      </c>
      <c r="O90" s="352" t="s">
        <v>507</v>
      </c>
      <c r="P90" t="s">
        <v>242</v>
      </c>
      <c r="Q90"/>
      <c r="R90"/>
      <c r="S90"/>
      <c r="T90"/>
    </row>
    <row r="91" spans="1:22" ht="15.9" x14ac:dyDescent="0.45">
      <c r="A91" t="s">
        <v>54</v>
      </c>
      <c r="B91" t="s">
        <v>271</v>
      </c>
      <c r="E91" t="s">
        <v>537</v>
      </c>
      <c r="I91" s="363"/>
      <c r="L91" s="350">
        <v>134336</v>
      </c>
      <c r="M91" s="351" t="s">
        <v>4091</v>
      </c>
      <c r="N91" s="352" t="s">
        <v>4092</v>
      </c>
      <c r="O91" s="352" t="s">
        <v>509</v>
      </c>
      <c r="P91" t="s">
        <v>242</v>
      </c>
      <c r="Q91"/>
      <c r="R91"/>
      <c r="S91"/>
      <c r="T91"/>
    </row>
    <row r="92" spans="1:22" ht="15.9" x14ac:dyDescent="0.45">
      <c r="A92" t="s">
        <v>47</v>
      </c>
      <c r="B92" t="s">
        <v>265</v>
      </c>
      <c r="E92" t="s">
        <v>540</v>
      </c>
      <c r="L92" s="350">
        <v>134338</v>
      </c>
      <c r="M92" s="351" t="s">
        <v>4093</v>
      </c>
      <c r="N92" s="352" t="s">
        <v>511</v>
      </c>
      <c r="O92" s="352" t="s">
        <v>512</v>
      </c>
      <c r="P92" t="s">
        <v>242</v>
      </c>
      <c r="Q92"/>
      <c r="R92"/>
      <c r="S92"/>
      <c r="T92"/>
    </row>
    <row r="93" spans="1:22" ht="15.9" x14ac:dyDescent="0.45">
      <c r="A93" t="s">
        <v>478</v>
      </c>
      <c r="B93" t="s">
        <v>281</v>
      </c>
      <c r="E93" t="s">
        <v>543</v>
      </c>
      <c r="L93" s="350">
        <v>134341</v>
      </c>
      <c r="M93" s="351" t="s">
        <v>4094</v>
      </c>
      <c r="N93" s="352" t="s">
        <v>514</v>
      </c>
      <c r="O93" s="352" t="s">
        <v>515</v>
      </c>
      <c r="P93" t="s">
        <v>242</v>
      </c>
      <c r="Q93"/>
      <c r="R93"/>
      <c r="S93"/>
      <c r="T93"/>
    </row>
    <row r="94" spans="1:22" ht="15.9" x14ac:dyDescent="0.45">
      <c r="A94" t="s">
        <v>482</v>
      </c>
      <c r="B94" t="s">
        <v>276</v>
      </c>
      <c r="E94" t="s">
        <v>546</v>
      </c>
      <c r="L94" s="350">
        <v>134351</v>
      </c>
      <c r="M94" s="351" t="s">
        <v>4095</v>
      </c>
      <c r="N94" s="352" t="s">
        <v>517</v>
      </c>
      <c r="O94" s="352" t="s">
        <v>518</v>
      </c>
      <c r="P94" t="s">
        <v>242</v>
      </c>
      <c r="Q94"/>
      <c r="R94"/>
      <c r="S94"/>
      <c r="T94"/>
    </row>
    <row r="95" spans="1:22" ht="15.9" x14ac:dyDescent="0.45">
      <c r="A95" t="s">
        <v>5400</v>
      </c>
      <c r="B95" t="s">
        <v>271</v>
      </c>
      <c r="E95" t="s">
        <v>549</v>
      </c>
      <c r="L95" s="350">
        <v>134353</v>
      </c>
      <c r="M95" s="351" t="s">
        <v>4096</v>
      </c>
      <c r="N95" s="352" t="s">
        <v>520</v>
      </c>
      <c r="O95" s="352" t="s">
        <v>521</v>
      </c>
      <c r="P95" t="s">
        <v>242</v>
      </c>
      <c r="Q95"/>
      <c r="R95"/>
      <c r="S95"/>
      <c r="T95"/>
    </row>
    <row r="96" spans="1:22" ht="15.9" x14ac:dyDescent="0.45">
      <c r="E96" t="s">
        <v>551</v>
      </c>
      <c r="L96" s="350">
        <v>134355</v>
      </c>
      <c r="M96" s="351" t="s">
        <v>4097</v>
      </c>
      <c r="N96" s="352" t="s">
        <v>524</v>
      </c>
      <c r="O96" s="352" t="s">
        <v>525</v>
      </c>
      <c r="P96" t="s">
        <v>242</v>
      </c>
      <c r="Q96"/>
      <c r="R96"/>
      <c r="S96"/>
      <c r="T96"/>
    </row>
    <row r="97" spans="5:20" ht="15.9" x14ac:dyDescent="0.45">
      <c r="E97" t="s">
        <v>553</v>
      </c>
      <c r="L97" s="350">
        <v>134373</v>
      </c>
      <c r="M97" s="351" t="s">
        <v>4098</v>
      </c>
      <c r="N97" s="352" t="s">
        <v>527</v>
      </c>
      <c r="O97" s="352" t="s">
        <v>528</v>
      </c>
      <c r="P97" t="s">
        <v>242</v>
      </c>
      <c r="Q97"/>
      <c r="R97"/>
      <c r="S97"/>
      <c r="T97"/>
    </row>
    <row r="98" spans="5:20" ht="15.9" x14ac:dyDescent="0.45">
      <c r="E98" t="s">
        <v>556</v>
      </c>
      <c r="L98" s="350">
        <v>134374</v>
      </c>
      <c r="M98" s="351" t="s">
        <v>4099</v>
      </c>
      <c r="N98" s="352" t="s">
        <v>530</v>
      </c>
      <c r="O98" s="352" t="s">
        <v>531</v>
      </c>
      <c r="P98" t="s">
        <v>242</v>
      </c>
      <c r="Q98"/>
      <c r="R98"/>
      <c r="S98"/>
      <c r="T98"/>
    </row>
    <row r="99" spans="5:20" ht="15.9" x14ac:dyDescent="0.45">
      <c r="E99" t="s">
        <v>559</v>
      </c>
      <c r="L99" s="350">
        <v>134375</v>
      </c>
      <c r="M99" s="351" t="s">
        <v>4100</v>
      </c>
      <c r="N99" s="352" t="s">
        <v>4101</v>
      </c>
      <c r="O99" s="352" t="s">
        <v>533</v>
      </c>
      <c r="P99" t="s">
        <v>242</v>
      </c>
      <c r="Q99"/>
      <c r="R99"/>
      <c r="S99"/>
      <c r="T99"/>
    </row>
    <row r="100" spans="5:20" ht="15.9" x14ac:dyDescent="0.45">
      <c r="E100" t="s">
        <v>562</v>
      </c>
      <c r="L100" s="350">
        <v>134376</v>
      </c>
      <c r="M100" s="351" t="s">
        <v>4102</v>
      </c>
      <c r="N100" s="352" t="s">
        <v>535</v>
      </c>
      <c r="O100" s="352" t="s">
        <v>536</v>
      </c>
      <c r="P100" t="s">
        <v>242</v>
      </c>
      <c r="Q100"/>
      <c r="R100"/>
      <c r="S100"/>
      <c r="T100"/>
    </row>
    <row r="101" spans="5:20" ht="15.9" x14ac:dyDescent="0.45">
      <c r="E101" t="s">
        <v>566</v>
      </c>
      <c r="L101" s="350">
        <v>134422</v>
      </c>
      <c r="M101" s="351" t="s">
        <v>4103</v>
      </c>
      <c r="N101" s="352" t="s">
        <v>538</v>
      </c>
      <c r="O101" s="352" t="s">
        <v>539</v>
      </c>
      <c r="P101" t="s">
        <v>242</v>
      </c>
      <c r="Q101"/>
      <c r="R101"/>
      <c r="S101"/>
      <c r="T101"/>
    </row>
    <row r="102" spans="5:20" ht="15.9" x14ac:dyDescent="0.45">
      <c r="E102" t="s">
        <v>570</v>
      </c>
      <c r="L102" s="350">
        <v>134465</v>
      </c>
      <c r="M102" s="351" t="s">
        <v>4104</v>
      </c>
      <c r="N102" s="352" t="s">
        <v>541</v>
      </c>
      <c r="O102" s="352" t="s">
        <v>542</v>
      </c>
      <c r="P102" t="s">
        <v>242</v>
      </c>
      <c r="Q102"/>
      <c r="R102"/>
      <c r="S102"/>
      <c r="T102"/>
    </row>
    <row r="103" spans="5:20" ht="15.9" x14ac:dyDescent="0.45">
      <c r="E103" t="s">
        <v>573</v>
      </c>
      <c r="L103" s="350">
        <v>134473</v>
      </c>
      <c r="M103" s="351" t="s">
        <v>4105</v>
      </c>
      <c r="N103" s="352" t="s">
        <v>544</v>
      </c>
      <c r="O103" s="352" t="s">
        <v>545</v>
      </c>
      <c r="P103" t="s">
        <v>242</v>
      </c>
      <c r="Q103"/>
      <c r="R103"/>
      <c r="S103"/>
      <c r="T103"/>
    </row>
    <row r="104" spans="5:20" ht="15.9" x14ac:dyDescent="0.45">
      <c r="E104" t="s">
        <v>576</v>
      </c>
      <c r="L104" s="350">
        <v>134482</v>
      </c>
      <c r="M104" s="351" t="s">
        <v>4106</v>
      </c>
      <c r="N104" s="352" t="s">
        <v>547</v>
      </c>
      <c r="O104" s="352" t="s">
        <v>548</v>
      </c>
      <c r="P104" t="s">
        <v>242</v>
      </c>
      <c r="Q104"/>
      <c r="R104"/>
      <c r="S104"/>
      <c r="T104"/>
    </row>
    <row r="105" spans="5:20" ht="15.9" x14ac:dyDescent="0.45">
      <c r="E105" t="s">
        <v>578</v>
      </c>
      <c r="L105" s="350">
        <v>134484</v>
      </c>
      <c r="M105" s="351" t="s">
        <v>4107</v>
      </c>
      <c r="N105" s="352" t="s">
        <v>4108</v>
      </c>
      <c r="O105" s="352" t="s">
        <v>550</v>
      </c>
      <c r="P105" t="s">
        <v>242</v>
      </c>
      <c r="Q105"/>
      <c r="R105"/>
      <c r="S105"/>
      <c r="T105"/>
    </row>
    <row r="106" spans="5:20" ht="15.9" x14ac:dyDescent="0.45">
      <c r="E106" t="s">
        <v>581</v>
      </c>
      <c r="L106" s="350">
        <v>134511</v>
      </c>
      <c r="M106" s="351" t="s">
        <v>4109</v>
      </c>
      <c r="N106" s="352" t="s">
        <v>552</v>
      </c>
      <c r="O106" s="352" t="s">
        <v>548</v>
      </c>
      <c r="P106" t="s">
        <v>242</v>
      </c>
      <c r="Q106"/>
      <c r="R106"/>
      <c r="S106"/>
      <c r="T106"/>
    </row>
    <row r="107" spans="5:20" ht="15.9" x14ac:dyDescent="0.45">
      <c r="E107" t="s">
        <v>584</v>
      </c>
      <c r="L107" s="350">
        <v>134678</v>
      </c>
      <c r="M107" s="351" t="s">
        <v>4110</v>
      </c>
      <c r="N107" s="352" t="s">
        <v>554</v>
      </c>
      <c r="O107" s="352" t="s">
        <v>555</v>
      </c>
      <c r="P107" t="s">
        <v>242</v>
      </c>
      <c r="Q107"/>
      <c r="R107"/>
      <c r="S107"/>
      <c r="T107"/>
    </row>
    <row r="108" spans="5:20" ht="15.9" x14ac:dyDescent="0.45">
      <c r="E108" t="s">
        <v>586</v>
      </c>
      <c r="L108" s="350">
        <v>135583</v>
      </c>
      <c r="M108" s="351" t="s">
        <v>4111</v>
      </c>
      <c r="N108" s="352" t="s">
        <v>557</v>
      </c>
      <c r="O108" s="352" t="s">
        <v>558</v>
      </c>
      <c r="P108" t="s">
        <v>242</v>
      </c>
      <c r="Q108"/>
      <c r="R108"/>
      <c r="S108"/>
      <c r="T108"/>
    </row>
    <row r="109" spans="5:20" ht="15.9" x14ac:dyDescent="0.45">
      <c r="E109" t="s">
        <v>588</v>
      </c>
      <c r="L109" s="350">
        <v>135586</v>
      </c>
      <c r="M109" s="351" t="s">
        <v>4112</v>
      </c>
      <c r="N109" s="352" t="s">
        <v>560</v>
      </c>
      <c r="O109" s="352" t="s">
        <v>561</v>
      </c>
      <c r="P109" t="s">
        <v>242</v>
      </c>
      <c r="Q109"/>
      <c r="R109"/>
      <c r="S109"/>
      <c r="T109"/>
    </row>
    <row r="110" spans="5:20" ht="15.9" x14ac:dyDescent="0.45">
      <c r="E110" t="s">
        <v>591</v>
      </c>
      <c r="L110" s="350">
        <v>136635</v>
      </c>
      <c r="M110" s="351" t="s">
        <v>4113</v>
      </c>
      <c r="N110" s="352" t="s">
        <v>564</v>
      </c>
      <c r="O110" s="352" t="s">
        <v>565</v>
      </c>
      <c r="P110" t="s">
        <v>242</v>
      </c>
      <c r="Q110"/>
      <c r="R110"/>
      <c r="S110"/>
      <c r="T110"/>
    </row>
    <row r="111" spans="5:20" ht="15.9" x14ac:dyDescent="0.45">
      <c r="E111" t="s">
        <v>593</v>
      </c>
      <c r="L111" s="350">
        <v>136661</v>
      </c>
      <c r="M111" s="351" t="s">
        <v>4114</v>
      </c>
      <c r="N111" s="352" t="s">
        <v>568</v>
      </c>
      <c r="O111" s="352" t="s">
        <v>569</v>
      </c>
      <c r="P111" t="s">
        <v>242</v>
      </c>
      <c r="Q111"/>
      <c r="R111"/>
      <c r="S111"/>
      <c r="T111"/>
    </row>
    <row r="112" spans="5:20" ht="15.9" x14ac:dyDescent="0.45">
      <c r="E112" t="s">
        <v>596</v>
      </c>
      <c r="L112" s="350">
        <v>136662</v>
      </c>
      <c r="M112" s="351" t="s">
        <v>4115</v>
      </c>
      <c r="N112" s="352" t="s">
        <v>571</v>
      </c>
      <c r="O112" s="352" t="s">
        <v>572</v>
      </c>
      <c r="P112" t="s">
        <v>242</v>
      </c>
      <c r="Q112"/>
      <c r="R112"/>
      <c r="S112"/>
      <c r="T112"/>
    </row>
    <row r="113" spans="12:20" ht="15.9" x14ac:dyDescent="0.45">
      <c r="L113" s="350">
        <v>136664</v>
      </c>
      <c r="M113" s="351" t="s">
        <v>4116</v>
      </c>
      <c r="N113" s="352" t="s">
        <v>574</v>
      </c>
      <c r="O113" s="352" t="s">
        <v>575</v>
      </c>
      <c r="P113" t="s">
        <v>242</v>
      </c>
      <c r="Q113"/>
      <c r="R113"/>
      <c r="S113"/>
      <c r="T113"/>
    </row>
    <row r="114" spans="12:20" ht="15.9" x14ac:dyDescent="0.45">
      <c r="L114" s="350">
        <v>136666</v>
      </c>
      <c r="M114" s="351" t="s">
        <v>4117</v>
      </c>
      <c r="N114" s="352" t="s">
        <v>3698</v>
      </c>
      <c r="O114" s="352" t="s">
        <v>577</v>
      </c>
      <c r="P114" t="s">
        <v>242</v>
      </c>
      <c r="Q114"/>
      <c r="R114"/>
      <c r="S114"/>
      <c r="T114"/>
    </row>
    <row r="115" spans="12:20" ht="15.9" x14ac:dyDescent="0.45">
      <c r="L115" s="350">
        <v>136667</v>
      </c>
      <c r="M115" s="351" t="s">
        <v>4118</v>
      </c>
      <c r="N115" s="352" t="s">
        <v>579</v>
      </c>
      <c r="O115" s="352" t="s">
        <v>580</v>
      </c>
      <c r="P115" t="s">
        <v>242</v>
      </c>
      <c r="Q115"/>
      <c r="R115"/>
      <c r="S115"/>
      <c r="T115"/>
    </row>
    <row r="116" spans="12:20" ht="15.9" x14ac:dyDescent="0.45">
      <c r="L116" s="350">
        <v>136668</v>
      </c>
      <c r="M116" s="351" t="s">
        <v>4119</v>
      </c>
      <c r="N116" s="352" t="s">
        <v>582</v>
      </c>
      <c r="O116" s="352" t="s">
        <v>583</v>
      </c>
      <c r="P116" t="s">
        <v>242</v>
      </c>
      <c r="Q116"/>
      <c r="R116"/>
      <c r="S116"/>
      <c r="T116"/>
    </row>
    <row r="117" spans="12:20" ht="15.9" x14ac:dyDescent="0.45">
      <c r="L117" s="350">
        <v>137200</v>
      </c>
      <c r="M117" s="351" t="s">
        <v>4120</v>
      </c>
      <c r="N117" s="352" t="s">
        <v>4121</v>
      </c>
      <c r="O117" s="352" t="s">
        <v>383</v>
      </c>
      <c r="P117" t="s">
        <v>242</v>
      </c>
      <c r="Q117"/>
      <c r="R117"/>
      <c r="S117"/>
      <c r="T117"/>
    </row>
    <row r="118" spans="12:20" ht="15.9" x14ac:dyDescent="0.45">
      <c r="L118" s="350">
        <v>140421</v>
      </c>
      <c r="M118" s="351" t="s">
        <v>3803</v>
      </c>
      <c r="N118" s="352" t="s">
        <v>4122</v>
      </c>
      <c r="O118" s="352" t="s">
        <v>587</v>
      </c>
      <c r="P118" t="s">
        <v>242</v>
      </c>
      <c r="Q118"/>
      <c r="R118"/>
      <c r="S118"/>
      <c r="T118"/>
    </row>
    <row r="119" spans="12:20" ht="15.9" x14ac:dyDescent="0.45">
      <c r="L119" s="350">
        <v>140422</v>
      </c>
      <c r="M119" s="351" t="s">
        <v>589</v>
      </c>
      <c r="N119" s="352" t="s">
        <v>4123</v>
      </c>
      <c r="O119" s="352" t="s">
        <v>590</v>
      </c>
      <c r="P119" t="s">
        <v>242</v>
      </c>
      <c r="Q119"/>
      <c r="R119"/>
      <c r="S119"/>
      <c r="T119"/>
    </row>
    <row r="120" spans="12:20" ht="15.9" x14ac:dyDescent="0.45">
      <c r="L120" s="350">
        <v>140423</v>
      </c>
      <c r="M120" s="351" t="s">
        <v>4124</v>
      </c>
      <c r="N120" s="352" t="s">
        <v>4126</v>
      </c>
      <c r="O120" s="352" t="s">
        <v>383</v>
      </c>
      <c r="P120" t="s">
        <v>242</v>
      </c>
      <c r="Q120"/>
      <c r="R120"/>
      <c r="S120"/>
      <c r="T120"/>
    </row>
    <row r="121" spans="12:20" ht="15.9" x14ac:dyDescent="0.45">
      <c r="L121" s="350">
        <v>141101</v>
      </c>
      <c r="M121" s="351" t="s">
        <v>4127</v>
      </c>
      <c r="N121" s="352" t="s">
        <v>4128</v>
      </c>
      <c r="O121" s="352" t="s">
        <v>592</v>
      </c>
      <c r="P121" t="s">
        <v>242</v>
      </c>
      <c r="Q121"/>
      <c r="R121"/>
      <c r="S121"/>
      <c r="T121"/>
    </row>
    <row r="122" spans="12:20" ht="15.9" x14ac:dyDescent="0.45">
      <c r="L122" s="350">
        <v>141154</v>
      </c>
      <c r="M122" s="351" t="s">
        <v>4129</v>
      </c>
      <c r="N122" s="352" t="s">
        <v>594</v>
      </c>
      <c r="O122" s="352" t="s">
        <v>595</v>
      </c>
      <c r="P122" t="s">
        <v>242</v>
      </c>
      <c r="Q122"/>
      <c r="R122"/>
      <c r="S122"/>
      <c r="T122"/>
    </row>
    <row r="123" spans="12:20" ht="15.9" x14ac:dyDescent="0.45">
      <c r="L123" s="350">
        <v>141165</v>
      </c>
      <c r="M123" s="351" t="s">
        <v>4130</v>
      </c>
      <c r="N123" s="352" t="s">
        <v>597</v>
      </c>
      <c r="O123" s="352" t="s">
        <v>598</v>
      </c>
      <c r="P123" t="s">
        <v>242</v>
      </c>
      <c r="Q123"/>
      <c r="R123"/>
      <c r="S123"/>
      <c r="T123"/>
    </row>
    <row r="124" spans="12:20" ht="15.9" x14ac:dyDescent="0.45">
      <c r="L124" s="350">
        <v>141175</v>
      </c>
      <c r="M124" s="351" t="s">
        <v>4131</v>
      </c>
      <c r="N124" s="352" t="s">
        <v>599</v>
      </c>
      <c r="O124" s="352" t="s">
        <v>600</v>
      </c>
      <c r="P124" t="s">
        <v>242</v>
      </c>
      <c r="Q124"/>
      <c r="R124"/>
      <c r="S124"/>
      <c r="T124"/>
    </row>
    <row r="125" spans="12:20" ht="15.9" x14ac:dyDescent="0.45">
      <c r="L125" s="350">
        <v>141181</v>
      </c>
      <c r="M125" s="351" t="s">
        <v>4132</v>
      </c>
      <c r="N125" s="352" t="s">
        <v>4133</v>
      </c>
      <c r="O125" s="352" t="s">
        <v>601</v>
      </c>
      <c r="P125" t="s">
        <v>242</v>
      </c>
      <c r="Q125"/>
      <c r="R125"/>
      <c r="S125"/>
      <c r="T125"/>
    </row>
    <row r="126" spans="12:20" ht="15.9" x14ac:dyDescent="0.45">
      <c r="L126" s="350">
        <v>141182</v>
      </c>
      <c r="M126" s="351" t="s">
        <v>4134</v>
      </c>
      <c r="N126" s="352" t="s">
        <v>602</v>
      </c>
      <c r="O126" s="352" t="s">
        <v>603</v>
      </c>
      <c r="P126" t="s">
        <v>242</v>
      </c>
      <c r="Q126"/>
      <c r="R126"/>
      <c r="S126"/>
      <c r="T126"/>
    </row>
    <row r="127" spans="12:20" ht="15.9" x14ac:dyDescent="0.45">
      <c r="L127" s="350">
        <v>141183</v>
      </c>
      <c r="M127" s="351" t="s">
        <v>4135</v>
      </c>
      <c r="N127" s="352" t="s">
        <v>604</v>
      </c>
      <c r="O127" s="352" t="s">
        <v>605</v>
      </c>
      <c r="P127" t="s">
        <v>242</v>
      </c>
      <c r="Q127"/>
      <c r="R127"/>
      <c r="S127"/>
      <c r="T127"/>
    </row>
    <row r="128" spans="12:20" ht="15.9" x14ac:dyDescent="0.45">
      <c r="L128" s="350">
        <v>141184</v>
      </c>
      <c r="M128" s="351" t="s">
        <v>4136</v>
      </c>
      <c r="N128" s="352" t="s">
        <v>606</v>
      </c>
      <c r="O128" s="352" t="s">
        <v>607</v>
      </c>
      <c r="P128" t="s">
        <v>242</v>
      </c>
      <c r="Q128"/>
      <c r="R128"/>
      <c r="S128"/>
      <c r="T128"/>
    </row>
    <row r="129" spans="12:20" ht="15.9" x14ac:dyDescent="0.45">
      <c r="L129" s="350">
        <v>141185</v>
      </c>
      <c r="M129" s="351" t="s">
        <v>4138</v>
      </c>
      <c r="N129" s="352" t="s">
        <v>608</v>
      </c>
      <c r="O129" s="352" t="s">
        <v>609</v>
      </c>
      <c r="P129" t="s">
        <v>242</v>
      </c>
      <c r="Q129"/>
      <c r="R129"/>
      <c r="S129"/>
      <c r="T129"/>
    </row>
    <row r="130" spans="12:20" ht="15.9" x14ac:dyDescent="0.45">
      <c r="L130" s="350">
        <v>141232</v>
      </c>
      <c r="M130" s="351" t="s">
        <v>4139</v>
      </c>
      <c r="N130" s="352" t="s">
        <v>4140</v>
      </c>
      <c r="O130" s="352" t="s">
        <v>610</v>
      </c>
      <c r="P130" t="s">
        <v>242</v>
      </c>
      <c r="Q130"/>
      <c r="R130"/>
      <c r="S130"/>
      <c r="T130"/>
    </row>
    <row r="131" spans="12:20" ht="15.9" x14ac:dyDescent="0.45">
      <c r="L131" s="350">
        <v>141383</v>
      </c>
      <c r="M131" s="351" t="s">
        <v>4141</v>
      </c>
      <c r="N131" s="352" t="s">
        <v>611</v>
      </c>
      <c r="O131" s="352" t="s">
        <v>4142</v>
      </c>
      <c r="P131" t="s">
        <v>242</v>
      </c>
      <c r="Q131"/>
      <c r="R131"/>
      <c r="S131"/>
      <c r="T131"/>
    </row>
    <row r="132" spans="12:20" ht="15.9" x14ac:dyDescent="0.45">
      <c r="L132" s="350">
        <v>141385</v>
      </c>
      <c r="M132" s="351" t="s">
        <v>4143</v>
      </c>
      <c r="N132" s="352" t="s">
        <v>613</v>
      </c>
      <c r="O132" s="352" t="s">
        <v>383</v>
      </c>
      <c r="P132" t="s">
        <v>242</v>
      </c>
      <c r="Q132"/>
      <c r="R132"/>
      <c r="S132"/>
      <c r="T132"/>
    </row>
    <row r="133" spans="12:20" ht="15.9" x14ac:dyDescent="0.45">
      <c r="L133" s="350">
        <v>141387</v>
      </c>
      <c r="M133" s="351" t="s">
        <v>4144</v>
      </c>
      <c r="N133" s="352" t="s">
        <v>614</v>
      </c>
      <c r="O133" s="352" t="s">
        <v>615</v>
      </c>
      <c r="P133" t="s">
        <v>242</v>
      </c>
      <c r="Q133"/>
      <c r="R133"/>
      <c r="S133"/>
      <c r="T133"/>
    </row>
    <row r="134" spans="12:20" ht="15.9" x14ac:dyDescent="0.45">
      <c r="L134" s="350">
        <v>141389</v>
      </c>
      <c r="M134" s="351" t="s">
        <v>4145</v>
      </c>
      <c r="N134" s="352" t="s">
        <v>4146</v>
      </c>
      <c r="O134" s="352" t="s">
        <v>616</v>
      </c>
      <c r="P134" t="s">
        <v>242</v>
      </c>
      <c r="Q134"/>
      <c r="R134"/>
      <c r="S134"/>
      <c r="T134"/>
    </row>
    <row r="135" spans="12:20" ht="15.9" x14ac:dyDescent="0.45">
      <c r="L135" s="350">
        <v>141391</v>
      </c>
      <c r="M135" s="351" t="s">
        <v>4147</v>
      </c>
      <c r="N135" s="352" t="s">
        <v>617</v>
      </c>
      <c r="O135" s="352" t="s">
        <v>618</v>
      </c>
      <c r="P135" t="s">
        <v>242</v>
      </c>
      <c r="Q135"/>
      <c r="R135"/>
      <c r="S135"/>
      <c r="T135"/>
    </row>
    <row r="136" spans="12:20" ht="15.9" x14ac:dyDescent="0.45">
      <c r="L136" s="350">
        <v>141392</v>
      </c>
      <c r="M136" s="351" t="s">
        <v>4148</v>
      </c>
      <c r="N136" s="352" t="s">
        <v>619</v>
      </c>
      <c r="O136" s="352" t="s">
        <v>620</v>
      </c>
      <c r="P136" t="s">
        <v>242</v>
      </c>
      <c r="Q136"/>
      <c r="R136"/>
      <c r="S136"/>
      <c r="T136"/>
    </row>
    <row r="137" spans="12:20" ht="15.9" x14ac:dyDescent="0.45">
      <c r="L137" s="350">
        <v>141393</v>
      </c>
      <c r="M137" s="351" t="s">
        <v>4149</v>
      </c>
      <c r="N137" s="352" t="s">
        <v>4151</v>
      </c>
      <c r="O137" s="352" t="s">
        <v>621</v>
      </c>
      <c r="P137" t="s">
        <v>242</v>
      </c>
      <c r="Q137"/>
      <c r="R137"/>
      <c r="S137"/>
      <c r="T137"/>
    </row>
    <row r="138" spans="12:20" ht="15.9" x14ac:dyDescent="0.45">
      <c r="L138" s="350">
        <v>141400</v>
      </c>
      <c r="M138" s="351" t="s">
        <v>4152</v>
      </c>
      <c r="N138" s="352" t="s">
        <v>4153</v>
      </c>
      <c r="O138" s="352" t="s">
        <v>383</v>
      </c>
      <c r="P138" t="s">
        <v>242</v>
      </c>
      <c r="Q138"/>
      <c r="R138"/>
      <c r="S138"/>
      <c r="T138"/>
    </row>
    <row r="139" spans="12:20" ht="15.9" x14ac:dyDescent="0.45">
      <c r="L139" s="350">
        <v>141411</v>
      </c>
      <c r="M139" s="351" t="s">
        <v>4154</v>
      </c>
      <c r="N139" s="352" t="s">
        <v>622</v>
      </c>
      <c r="O139" s="352" t="s">
        <v>623</v>
      </c>
      <c r="P139" t="s">
        <v>242</v>
      </c>
      <c r="Q139"/>
      <c r="R139"/>
      <c r="S139"/>
      <c r="T139"/>
    </row>
    <row r="140" spans="12:20" ht="15.9" x14ac:dyDescent="0.45">
      <c r="L140" s="350">
        <v>141421</v>
      </c>
      <c r="M140" s="351" t="s">
        <v>4155</v>
      </c>
      <c r="N140" s="352" t="s">
        <v>624</v>
      </c>
      <c r="O140" s="352" t="s">
        <v>625</v>
      </c>
      <c r="P140" t="s">
        <v>242</v>
      </c>
      <c r="Q140"/>
      <c r="R140"/>
      <c r="S140"/>
      <c r="T140"/>
    </row>
    <row r="141" spans="12:20" ht="15.9" x14ac:dyDescent="0.45">
      <c r="L141" s="350">
        <v>141446</v>
      </c>
      <c r="M141" s="351" t="s">
        <v>4156</v>
      </c>
      <c r="N141" s="352" t="s">
        <v>4157</v>
      </c>
      <c r="O141" s="352" t="s">
        <v>3699</v>
      </c>
      <c r="P141" t="s">
        <v>242</v>
      </c>
      <c r="Q141"/>
      <c r="R141"/>
      <c r="S141"/>
      <c r="T141"/>
    </row>
    <row r="142" spans="12:20" ht="15.9" x14ac:dyDescent="0.45">
      <c r="L142" s="350">
        <v>141447</v>
      </c>
      <c r="M142" s="351" t="s">
        <v>4159</v>
      </c>
      <c r="N142" s="352" t="s">
        <v>626</v>
      </c>
      <c r="O142" s="352" t="s">
        <v>627</v>
      </c>
      <c r="P142" t="s">
        <v>242</v>
      </c>
      <c r="Q142"/>
      <c r="R142"/>
      <c r="S142"/>
      <c r="T142"/>
    </row>
    <row r="143" spans="12:20" ht="15.9" x14ac:dyDescent="0.45">
      <c r="L143" s="350">
        <v>141449</v>
      </c>
      <c r="M143" s="351" t="s">
        <v>4160</v>
      </c>
      <c r="N143" s="352" t="s">
        <v>4161</v>
      </c>
      <c r="O143" s="352" t="s">
        <v>3700</v>
      </c>
      <c r="P143" t="s">
        <v>242</v>
      </c>
      <c r="Q143"/>
      <c r="R143"/>
      <c r="S143"/>
      <c r="T143"/>
    </row>
    <row r="144" spans="12:20" ht="15.9" x14ac:dyDescent="0.45">
      <c r="L144" s="350">
        <v>141453</v>
      </c>
      <c r="M144" s="351" t="s">
        <v>4162</v>
      </c>
      <c r="N144" s="352" t="s">
        <v>628</v>
      </c>
      <c r="O144" s="352" t="s">
        <v>629</v>
      </c>
      <c r="P144" t="s">
        <v>242</v>
      </c>
      <c r="Q144"/>
      <c r="R144"/>
      <c r="S144"/>
      <c r="T144"/>
    </row>
    <row r="145" spans="12:20" ht="15.9" x14ac:dyDescent="0.45">
      <c r="L145" s="350">
        <v>141454</v>
      </c>
      <c r="M145" s="351" t="s">
        <v>4163</v>
      </c>
      <c r="N145" s="352" t="s">
        <v>4164</v>
      </c>
      <c r="O145" s="356" t="s">
        <v>3701</v>
      </c>
      <c r="P145" t="s">
        <v>242</v>
      </c>
      <c r="Q145"/>
      <c r="R145"/>
      <c r="S145"/>
      <c r="T145"/>
    </row>
    <row r="146" spans="12:20" ht="15.9" x14ac:dyDescent="0.45">
      <c r="L146" s="350">
        <v>141455</v>
      </c>
      <c r="M146" s="351" t="s">
        <v>4165</v>
      </c>
      <c r="N146" s="352" t="s">
        <v>3702</v>
      </c>
      <c r="O146" s="352" t="s">
        <v>630</v>
      </c>
      <c r="P146" t="s">
        <v>242</v>
      </c>
      <c r="Q146"/>
      <c r="R146"/>
      <c r="S146"/>
      <c r="T146"/>
    </row>
    <row r="147" spans="12:20" ht="15.9" x14ac:dyDescent="0.45">
      <c r="L147" s="350">
        <v>141456</v>
      </c>
      <c r="M147" s="351" t="s">
        <v>4166</v>
      </c>
      <c r="N147" s="352" t="s">
        <v>4167</v>
      </c>
      <c r="O147" s="352" t="s">
        <v>3703</v>
      </c>
      <c r="P147" t="s">
        <v>242</v>
      </c>
      <c r="Q147"/>
      <c r="R147"/>
      <c r="S147"/>
      <c r="T147"/>
    </row>
    <row r="148" spans="12:20" ht="15.9" x14ac:dyDescent="0.45">
      <c r="L148" s="350">
        <v>141459</v>
      </c>
      <c r="M148" s="351" t="s">
        <v>4168</v>
      </c>
      <c r="N148" s="352" t="s">
        <v>631</v>
      </c>
      <c r="O148" s="352" t="s">
        <v>632</v>
      </c>
      <c r="P148" t="s">
        <v>242</v>
      </c>
      <c r="Q148"/>
      <c r="R148"/>
      <c r="S148"/>
      <c r="T148"/>
    </row>
    <row r="149" spans="12:20" ht="15.9" x14ac:dyDescent="0.45">
      <c r="L149" s="350">
        <v>141461</v>
      </c>
      <c r="M149" s="351" t="s">
        <v>4170</v>
      </c>
      <c r="N149" s="352" t="s">
        <v>634</v>
      </c>
      <c r="O149" s="352" t="s">
        <v>635</v>
      </c>
      <c r="P149" t="s">
        <v>242</v>
      </c>
      <c r="Q149"/>
      <c r="R149"/>
      <c r="S149"/>
      <c r="T149"/>
    </row>
    <row r="150" spans="12:20" ht="15.9" x14ac:dyDescent="0.45">
      <c r="L150" s="350">
        <v>141481</v>
      </c>
      <c r="M150" s="351" t="s">
        <v>4171</v>
      </c>
      <c r="N150" s="352" t="s">
        <v>636</v>
      </c>
      <c r="O150" s="352" t="s">
        <v>637</v>
      </c>
      <c r="P150" t="s">
        <v>242</v>
      </c>
      <c r="Q150"/>
      <c r="R150"/>
      <c r="S150"/>
      <c r="T150"/>
    </row>
    <row r="151" spans="12:20" ht="15.9" x14ac:dyDescent="0.45">
      <c r="L151" s="350">
        <v>141489</v>
      </c>
      <c r="M151" s="351" t="s">
        <v>4172</v>
      </c>
      <c r="N151" s="352" t="s">
        <v>638</v>
      </c>
      <c r="O151" s="352" t="s">
        <v>639</v>
      </c>
      <c r="P151" t="s">
        <v>242</v>
      </c>
      <c r="Q151"/>
      <c r="R151"/>
      <c r="S151"/>
      <c r="T151"/>
    </row>
    <row r="152" spans="12:20" ht="15.9" x14ac:dyDescent="0.45">
      <c r="L152" s="350">
        <v>141626</v>
      </c>
      <c r="M152" s="351" t="s">
        <v>4173</v>
      </c>
      <c r="N152" s="352" t="s">
        <v>640</v>
      </c>
      <c r="O152" s="352" t="s">
        <v>641</v>
      </c>
      <c r="P152" t="s">
        <v>242</v>
      </c>
      <c r="Q152"/>
      <c r="R152"/>
      <c r="S152"/>
      <c r="T152"/>
    </row>
    <row r="153" spans="12:20" ht="15.9" x14ac:dyDescent="0.45">
      <c r="L153" s="350">
        <v>141627</v>
      </c>
      <c r="M153" s="351" t="s">
        <v>4174</v>
      </c>
      <c r="N153" s="352" t="s">
        <v>4175</v>
      </c>
      <c r="O153" s="352" t="s">
        <v>642</v>
      </c>
      <c r="P153" t="s">
        <v>242</v>
      </c>
      <c r="Q153"/>
      <c r="R153"/>
      <c r="S153"/>
      <c r="T153"/>
    </row>
    <row r="154" spans="12:20" ht="15.9" x14ac:dyDescent="0.45">
      <c r="L154" s="350">
        <v>141629</v>
      </c>
      <c r="M154" s="351" t="s">
        <v>4176</v>
      </c>
      <c r="N154" s="352" t="s">
        <v>643</v>
      </c>
      <c r="O154" s="352" t="s">
        <v>644</v>
      </c>
      <c r="P154" t="s">
        <v>242</v>
      </c>
      <c r="Q154"/>
      <c r="R154"/>
      <c r="S154"/>
      <c r="T154"/>
    </row>
    <row r="155" spans="12:20" ht="15.9" x14ac:dyDescent="0.45">
      <c r="L155" s="350">
        <v>141635</v>
      </c>
      <c r="M155" s="351" t="s">
        <v>4177</v>
      </c>
      <c r="N155" s="352" t="s">
        <v>645</v>
      </c>
      <c r="O155" s="352" t="s">
        <v>646</v>
      </c>
      <c r="P155" t="s">
        <v>242</v>
      </c>
      <c r="Q155"/>
      <c r="R155"/>
      <c r="S155"/>
      <c r="T155"/>
    </row>
    <row r="156" spans="12:20" ht="15.9" x14ac:dyDescent="0.45">
      <c r="L156" s="350">
        <v>141649</v>
      </c>
      <c r="M156" s="351" t="s">
        <v>4178</v>
      </c>
      <c r="N156" s="352" t="s">
        <v>4179</v>
      </c>
      <c r="O156" s="352" t="s">
        <v>3704</v>
      </c>
      <c r="P156" t="s">
        <v>242</v>
      </c>
      <c r="Q156"/>
      <c r="R156"/>
      <c r="S156"/>
      <c r="T156"/>
    </row>
    <row r="157" spans="12:20" ht="15.9" x14ac:dyDescent="0.45">
      <c r="L157" s="350">
        <v>141650</v>
      </c>
      <c r="M157" s="351" t="s">
        <v>4180</v>
      </c>
      <c r="N157" s="352" t="s">
        <v>4181</v>
      </c>
      <c r="O157" s="352" t="s">
        <v>383</v>
      </c>
      <c r="P157" t="s">
        <v>242</v>
      </c>
      <c r="Q157"/>
      <c r="R157"/>
      <c r="S157"/>
      <c r="T157"/>
    </row>
    <row r="158" spans="12:20" ht="15.9" x14ac:dyDescent="0.45">
      <c r="L158" s="350">
        <v>141651</v>
      </c>
      <c r="M158" s="351" t="s">
        <v>4182</v>
      </c>
      <c r="N158" s="352" t="s">
        <v>4183</v>
      </c>
      <c r="O158" s="352" t="s">
        <v>383</v>
      </c>
      <c r="P158" t="s">
        <v>242</v>
      </c>
      <c r="Q158"/>
      <c r="R158"/>
      <c r="S158"/>
      <c r="T158"/>
    </row>
    <row r="159" spans="12:20" ht="15.9" x14ac:dyDescent="0.45">
      <c r="L159" s="350">
        <v>141652</v>
      </c>
      <c r="M159" s="351" t="s">
        <v>4184</v>
      </c>
      <c r="N159" s="352" t="s">
        <v>4185</v>
      </c>
      <c r="O159" s="352" t="s">
        <v>383</v>
      </c>
      <c r="P159" t="s">
        <v>242</v>
      </c>
      <c r="Q159"/>
      <c r="R159"/>
      <c r="S159"/>
      <c r="T159"/>
    </row>
    <row r="160" spans="12:20" ht="15.9" x14ac:dyDescent="0.45">
      <c r="L160" s="350">
        <v>141743</v>
      </c>
      <c r="M160" s="351" t="s">
        <v>4186</v>
      </c>
      <c r="N160" s="352" t="s">
        <v>647</v>
      </c>
      <c r="O160" s="352" t="s">
        <v>648</v>
      </c>
      <c r="P160" t="s">
        <v>242</v>
      </c>
      <c r="Q160"/>
      <c r="R160"/>
      <c r="S160"/>
      <c r="T160"/>
    </row>
    <row r="161" spans="12:20" ht="15.9" x14ac:dyDescent="0.45">
      <c r="L161" s="350">
        <v>141745</v>
      </c>
      <c r="M161" s="351" t="s">
        <v>4187</v>
      </c>
      <c r="N161" s="352" t="s">
        <v>649</v>
      </c>
      <c r="O161" s="352" t="s">
        <v>650</v>
      </c>
      <c r="P161" t="s">
        <v>242</v>
      </c>
      <c r="Q161"/>
      <c r="R161"/>
      <c r="S161"/>
      <c r="T161"/>
    </row>
    <row r="162" spans="12:20" ht="15.9" x14ac:dyDescent="0.45">
      <c r="L162" s="350">
        <v>141747</v>
      </c>
      <c r="M162" s="351" t="s">
        <v>4188</v>
      </c>
      <c r="N162" s="352" t="s">
        <v>651</v>
      </c>
      <c r="O162" s="352" t="s">
        <v>652</v>
      </c>
      <c r="P162" t="s">
        <v>242</v>
      </c>
      <c r="Q162"/>
      <c r="R162"/>
      <c r="S162"/>
      <c r="T162"/>
    </row>
    <row r="163" spans="12:20" ht="15.9" x14ac:dyDescent="0.45">
      <c r="L163" s="350">
        <v>141753</v>
      </c>
      <c r="M163" s="351" t="s">
        <v>4189</v>
      </c>
      <c r="N163" s="352" t="s">
        <v>653</v>
      </c>
      <c r="O163" s="352" t="s">
        <v>654</v>
      </c>
      <c r="P163" t="s">
        <v>242</v>
      </c>
      <c r="Q163"/>
      <c r="R163"/>
      <c r="S163"/>
      <c r="T163"/>
    </row>
    <row r="164" spans="12:20" ht="15.9" x14ac:dyDescent="0.45">
      <c r="L164" s="350">
        <v>141762</v>
      </c>
      <c r="M164" s="351" t="s">
        <v>4190</v>
      </c>
      <c r="N164" s="352" t="s">
        <v>3705</v>
      </c>
      <c r="O164" s="352" t="s">
        <v>655</v>
      </c>
      <c r="P164" t="s">
        <v>242</v>
      </c>
      <c r="Q164"/>
      <c r="R164"/>
      <c r="S164"/>
      <c r="T164"/>
    </row>
    <row r="165" spans="12:20" ht="15.9" x14ac:dyDescent="0.45">
      <c r="L165" s="350">
        <v>141763</v>
      </c>
      <c r="M165" s="351" t="s">
        <v>4191</v>
      </c>
      <c r="N165" s="352" t="s">
        <v>656</v>
      </c>
      <c r="O165" s="352" t="s">
        <v>657</v>
      </c>
      <c r="P165" t="s">
        <v>242</v>
      </c>
      <c r="Q165"/>
      <c r="R165"/>
      <c r="S165"/>
      <c r="T165"/>
    </row>
    <row r="166" spans="12:20" ht="15.9" x14ac:dyDescent="0.45">
      <c r="L166" s="350">
        <v>141764</v>
      </c>
      <c r="M166" s="351" t="s">
        <v>4192</v>
      </c>
      <c r="N166" s="352" t="s">
        <v>658</v>
      </c>
      <c r="O166" s="352" t="s">
        <v>659</v>
      </c>
      <c r="P166" t="s">
        <v>242</v>
      </c>
      <c r="Q166"/>
      <c r="R166"/>
      <c r="S166"/>
      <c r="T166"/>
    </row>
    <row r="167" spans="12:20" ht="15.9" x14ac:dyDescent="0.45">
      <c r="L167" s="350">
        <v>141765</v>
      </c>
      <c r="M167" s="351" t="s">
        <v>4193</v>
      </c>
      <c r="N167" s="352" t="s">
        <v>3706</v>
      </c>
      <c r="O167" s="352" t="s">
        <v>660</v>
      </c>
      <c r="P167" t="s">
        <v>242</v>
      </c>
      <c r="Q167"/>
      <c r="R167"/>
      <c r="S167"/>
      <c r="T167"/>
    </row>
    <row r="168" spans="12:20" ht="15.9" x14ac:dyDescent="0.45">
      <c r="L168" s="350">
        <v>141766</v>
      </c>
      <c r="M168" s="351" t="s">
        <v>4194</v>
      </c>
      <c r="N168" s="352" t="s">
        <v>4195</v>
      </c>
      <c r="O168" s="352" t="s">
        <v>661</v>
      </c>
      <c r="P168" t="s">
        <v>242</v>
      </c>
      <c r="Q168"/>
      <c r="R168"/>
      <c r="S168"/>
      <c r="T168"/>
    </row>
    <row r="169" spans="12:20" ht="15.9" x14ac:dyDescent="0.45">
      <c r="L169" s="350">
        <v>141782</v>
      </c>
      <c r="M169" s="351" t="s">
        <v>4196</v>
      </c>
      <c r="N169" s="352" t="s">
        <v>662</v>
      </c>
      <c r="O169" s="352" t="s">
        <v>663</v>
      </c>
      <c r="P169" t="s">
        <v>242</v>
      </c>
      <c r="Q169"/>
      <c r="R169"/>
      <c r="S169"/>
      <c r="T169"/>
    </row>
    <row r="170" spans="12:20" ht="15.9" x14ac:dyDescent="0.45">
      <c r="L170" s="350">
        <v>141783</v>
      </c>
      <c r="M170" s="351" t="s">
        <v>4198</v>
      </c>
      <c r="N170" s="352" t="s">
        <v>664</v>
      </c>
      <c r="O170" s="352" t="s">
        <v>665</v>
      </c>
      <c r="P170" t="s">
        <v>242</v>
      </c>
      <c r="Q170"/>
      <c r="R170"/>
      <c r="S170"/>
      <c r="T170"/>
    </row>
    <row r="171" spans="12:20" ht="15.9" x14ac:dyDescent="0.45">
      <c r="L171" s="350">
        <v>141784</v>
      </c>
      <c r="M171" s="351" t="s">
        <v>4199</v>
      </c>
      <c r="N171" s="352" t="s">
        <v>666</v>
      </c>
      <c r="O171" s="352" t="s">
        <v>667</v>
      </c>
      <c r="P171" t="s">
        <v>242</v>
      </c>
      <c r="Q171"/>
      <c r="R171"/>
      <c r="S171"/>
      <c r="T171"/>
    </row>
    <row r="172" spans="12:20" ht="15.9" x14ac:dyDescent="0.45">
      <c r="L172" s="350">
        <v>141785</v>
      </c>
      <c r="M172" s="351" t="s">
        <v>4200</v>
      </c>
      <c r="N172" s="352" t="s">
        <v>668</v>
      </c>
      <c r="O172" s="352" t="s">
        <v>669</v>
      </c>
      <c r="P172" t="s">
        <v>242</v>
      </c>
      <c r="Q172"/>
      <c r="R172"/>
      <c r="S172"/>
      <c r="T172"/>
    </row>
    <row r="173" spans="12:20" ht="15.9" x14ac:dyDescent="0.45">
      <c r="L173" s="350">
        <v>141786</v>
      </c>
      <c r="M173" s="351" t="s">
        <v>4201</v>
      </c>
      <c r="N173" s="352" t="s">
        <v>670</v>
      </c>
      <c r="O173" s="352" t="s">
        <v>671</v>
      </c>
      <c r="P173" t="s">
        <v>242</v>
      </c>
      <c r="Q173"/>
      <c r="R173"/>
      <c r="S173"/>
      <c r="T173"/>
    </row>
    <row r="174" spans="12:20" ht="15.9" x14ac:dyDescent="0.45">
      <c r="L174" s="350">
        <v>141787</v>
      </c>
      <c r="M174" s="351" t="s">
        <v>4202</v>
      </c>
      <c r="N174" s="352" t="s">
        <v>672</v>
      </c>
      <c r="O174" s="352" t="s">
        <v>673</v>
      </c>
      <c r="P174" t="s">
        <v>242</v>
      </c>
      <c r="Q174"/>
      <c r="R174"/>
      <c r="S174"/>
      <c r="T174"/>
    </row>
    <row r="175" spans="12:20" ht="15.9" x14ac:dyDescent="0.45">
      <c r="L175" s="350">
        <v>141821</v>
      </c>
      <c r="M175" s="351" t="s">
        <v>4203</v>
      </c>
      <c r="N175" s="352" t="s">
        <v>3707</v>
      </c>
      <c r="O175" s="352" t="s">
        <v>674</v>
      </c>
      <c r="P175" t="s">
        <v>242</v>
      </c>
      <c r="Q175"/>
      <c r="R175"/>
      <c r="S175"/>
      <c r="T175"/>
    </row>
    <row r="176" spans="12:20" ht="15.9" x14ac:dyDescent="0.45">
      <c r="L176" s="350">
        <v>141911</v>
      </c>
      <c r="M176" s="351" t="s">
        <v>2304</v>
      </c>
      <c r="N176" s="352" t="s">
        <v>675</v>
      </c>
      <c r="O176" s="352" t="s">
        <v>676</v>
      </c>
      <c r="P176" t="s">
        <v>242</v>
      </c>
      <c r="Q176"/>
      <c r="R176"/>
      <c r="S176"/>
      <c r="T176"/>
    </row>
    <row r="177" spans="12:20" ht="15.9" x14ac:dyDescent="0.45">
      <c r="L177" s="350">
        <v>141912</v>
      </c>
      <c r="M177" s="351" t="s">
        <v>4204</v>
      </c>
      <c r="N177" s="352" t="s">
        <v>677</v>
      </c>
      <c r="O177" s="352" t="s">
        <v>678</v>
      </c>
      <c r="P177" t="s">
        <v>242</v>
      </c>
      <c r="Q177"/>
      <c r="R177"/>
      <c r="S177"/>
      <c r="T177"/>
    </row>
    <row r="178" spans="12:20" ht="15.9" x14ac:dyDescent="0.45">
      <c r="L178" s="350">
        <v>141913</v>
      </c>
      <c r="M178" s="351" t="s">
        <v>4205</v>
      </c>
      <c r="N178" s="352" t="s">
        <v>679</v>
      </c>
      <c r="O178" s="352" t="s">
        <v>383</v>
      </c>
      <c r="P178" t="s">
        <v>242</v>
      </c>
      <c r="Q178"/>
      <c r="R178"/>
      <c r="S178"/>
      <c r="T178"/>
    </row>
    <row r="179" spans="12:20" ht="15.9" x14ac:dyDescent="0.45">
      <c r="L179" s="350">
        <v>141914</v>
      </c>
      <c r="M179" s="351" t="s">
        <v>2309</v>
      </c>
      <c r="N179" s="352" t="s">
        <v>680</v>
      </c>
      <c r="O179" s="352" t="s">
        <v>681</v>
      </c>
      <c r="P179" t="s">
        <v>242</v>
      </c>
      <c r="Q179"/>
      <c r="R179"/>
      <c r="S179"/>
      <c r="T179"/>
    </row>
    <row r="180" spans="12:20" ht="15.9" x14ac:dyDescent="0.45">
      <c r="L180" s="350">
        <v>141915</v>
      </c>
      <c r="M180" s="351" t="s">
        <v>4206</v>
      </c>
      <c r="N180" s="352" t="s">
        <v>682</v>
      </c>
      <c r="O180" s="352" t="s">
        <v>683</v>
      </c>
      <c r="P180" t="s">
        <v>242</v>
      </c>
      <c r="Q180"/>
      <c r="R180"/>
      <c r="S180"/>
      <c r="T180"/>
    </row>
    <row r="181" spans="12:20" ht="15.9" x14ac:dyDescent="0.45">
      <c r="L181" s="350">
        <v>143091</v>
      </c>
      <c r="M181" s="351" t="s">
        <v>4207</v>
      </c>
      <c r="N181" s="352" t="s">
        <v>4209</v>
      </c>
      <c r="O181" s="352" t="s">
        <v>383</v>
      </c>
      <c r="P181" t="s">
        <v>242</v>
      </c>
      <c r="Q181"/>
      <c r="R181"/>
      <c r="S181"/>
      <c r="T181"/>
    </row>
    <row r="182" spans="12:20" ht="15.9" x14ac:dyDescent="0.45">
      <c r="L182" s="350">
        <v>143199</v>
      </c>
      <c r="M182" s="351" t="s">
        <v>2312</v>
      </c>
      <c r="N182" s="352" t="s">
        <v>684</v>
      </c>
      <c r="O182" s="352" t="s">
        <v>685</v>
      </c>
      <c r="P182" t="s">
        <v>242</v>
      </c>
      <c r="Q182"/>
      <c r="R182"/>
      <c r="S182"/>
      <c r="T182"/>
    </row>
    <row r="183" spans="12:20" ht="15.9" x14ac:dyDescent="0.45">
      <c r="L183" s="350">
        <v>143251</v>
      </c>
      <c r="M183" s="351" t="s">
        <v>4210</v>
      </c>
      <c r="N183" s="352" t="s">
        <v>4212</v>
      </c>
      <c r="O183" s="352" t="s">
        <v>383</v>
      </c>
      <c r="P183" t="s">
        <v>242</v>
      </c>
      <c r="Q183"/>
      <c r="R183"/>
      <c r="S183"/>
      <c r="T183"/>
    </row>
    <row r="184" spans="12:20" ht="15.9" x14ac:dyDescent="0.45">
      <c r="L184" s="350">
        <v>143770</v>
      </c>
      <c r="M184" s="351" t="s">
        <v>4213</v>
      </c>
      <c r="N184" s="352" t="s">
        <v>4214</v>
      </c>
      <c r="O184" s="352" t="s">
        <v>383</v>
      </c>
      <c r="P184" t="s">
        <v>242</v>
      </c>
      <c r="Q184"/>
      <c r="R184"/>
      <c r="S184"/>
      <c r="T184"/>
    </row>
    <row r="185" spans="12:20" ht="15.9" x14ac:dyDescent="0.45">
      <c r="L185" s="350">
        <v>144321</v>
      </c>
      <c r="M185" s="351" t="s">
        <v>4215</v>
      </c>
      <c r="N185" s="352" t="s">
        <v>3708</v>
      </c>
      <c r="O185" s="352" t="s">
        <v>687</v>
      </c>
      <c r="P185" t="s">
        <v>242</v>
      </c>
      <c r="Q185"/>
      <c r="R185"/>
      <c r="S185"/>
      <c r="T185"/>
    </row>
    <row r="186" spans="12:20" ht="15.9" x14ac:dyDescent="0.45">
      <c r="L186" s="350">
        <v>144401</v>
      </c>
      <c r="M186" s="351" t="s">
        <v>4216</v>
      </c>
      <c r="N186" s="352" t="s">
        <v>4217</v>
      </c>
      <c r="O186" s="352" t="s">
        <v>688</v>
      </c>
      <c r="P186" t="s">
        <v>242</v>
      </c>
      <c r="Q186"/>
      <c r="R186"/>
      <c r="S186"/>
      <c r="T186"/>
    </row>
    <row r="187" spans="12:20" ht="15.9" x14ac:dyDescent="0.45">
      <c r="L187" s="350">
        <v>144421</v>
      </c>
      <c r="M187" s="351" t="s">
        <v>4218</v>
      </c>
      <c r="N187" s="352" t="s">
        <v>689</v>
      </c>
      <c r="O187" s="352" t="s">
        <v>690</v>
      </c>
      <c r="P187" t="s">
        <v>242</v>
      </c>
      <c r="Q187"/>
      <c r="R187"/>
      <c r="S187"/>
      <c r="T187"/>
    </row>
    <row r="188" spans="12:20" ht="15.9" x14ac:dyDescent="0.45">
      <c r="L188" s="350">
        <v>144422</v>
      </c>
      <c r="M188" s="351" t="s">
        <v>4219</v>
      </c>
      <c r="N188" s="352" t="s">
        <v>692</v>
      </c>
      <c r="O188" s="352" t="s">
        <v>693</v>
      </c>
      <c r="P188" t="s">
        <v>242</v>
      </c>
      <c r="Q188"/>
      <c r="R188"/>
      <c r="S188"/>
      <c r="T188"/>
    </row>
    <row r="189" spans="12:20" ht="15.9" x14ac:dyDescent="0.45">
      <c r="L189" s="350">
        <v>144423</v>
      </c>
      <c r="M189" s="351" t="s">
        <v>4220</v>
      </c>
      <c r="N189" s="352" t="s">
        <v>695</v>
      </c>
      <c r="O189" s="352" t="s">
        <v>696</v>
      </c>
      <c r="P189" t="s">
        <v>242</v>
      </c>
      <c r="Q189"/>
      <c r="R189"/>
      <c r="S189"/>
      <c r="T189"/>
    </row>
    <row r="190" spans="12:20" ht="15.9" x14ac:dyDescent="0.45">
      <c r="L190" s="350">
        <v>144621</v>
      </c>
      <c r="M190" s="351" t="s">
        <v>4221</v>
      </c>
      <c r="N190" s="352" t="s">
        <v>697</v>
      </c>
      <c r="O190" s="352" t="s">
        <v>383</v>
      </c>
      <c r="P190" t="s">
        <v>242</v>
      </c>
      <c r="Q190"/>
      <c r="R190"/>
      <c r="S190"/>
      <c r="T190"/>
    </row>
    <row r="191" spans="12:20" ht="15.9" x14ac:dyDescent="0.45">
      <c r="L191" s="350">
        <v>145921</v>
      </c>
      <c r="M191" s="351" t="s">
        <v>4222</v>
      </c>
      <c r="N191" s="352" t="s">
        <v>698</v>
      </c>
      <c r="O191" s="352" t="s">
        <v>699</v>
      </c>
      <c r="P191" t="s">
        <v>242</v>
      </c>
      <c r="Q191"/>
      <c r="R191"/>
      <c r="S191"/>
      <c r="T191"/>
    </row>
    <row r="192" spans="12:20" ht="15.9" x14ac:dyDescent="0.45">
      <c r="L192" s="350">
        <v>146601</v>
      </c>
      <c r="M192" s="351" t="s">
        <v>4224</v>
      </c>
      <c r="N192" s="352" t="s">
        <v>4225</v>
      </c>
      <c r="O192" s="352" t="s">
        <v>700</v>
      </c>
      <c r="P192" t="s">
        <v>242</v>
      </c>
      <c r="Q192"/>
      <c r="R192"/>
      <c r="S192"/>
      <c r="T192"/>
    </row>
    <row r="193" spans="12:20" ht="15.9" x14ac:dyDescent="0.45">
      <c r="L193" s="350">
        <v>148170</v>
      </c>
      <c r="M193" s="351" t="s">
        <v>4226</v>
      </c>
      <c r="N193" s="352" t="s">
        <v>4227</v>
      </c>
      <c r="O193" s="352" t="s">
        <v>383</v>
      </c>
      <c r="P193" t="s">
        <v>242</v>
      </c>
      <c r="Q193"/>
      <c r="R193"/>
      <c r="S193"/>
      <c r="T193"/>
    </row>
    <row r="194" spans="12:20" ht="15.9" x14ac:dyDescent="0.45">
      <c r="L194" s="350">
        <v>149399</v>
      </c>
      <c r="M194" s="351" t="s">
        <v>3818</v>
      </c>
      <c r="N194" s="352" t="s">
        <v>4228</v>
      </c>
      <c r="O194" s="352" t="s">
        <v>702</v>
      </c>
      <c r="P194" t="s">
        <v>242</v>
      </c>
      <c r="Q194"/>
      <c r="R194"/>
      <c r="S194"/>
    </row>
    <row r="195" spans="12:20" ht="15.9" x14ac:dyDescent="0.45">
      <c r="L195" s="350">
        <v>149411</v>
      </c>
      <c r="M195" s="351" t="s">
        <v>4229</v>
      </c>
      <c r="N195" s="352" t="s">
        <v>704</v>
      </c>
      <c r="O195" s="352" t="s">
        <v>705</v>
      </c>
      <c r="P195" t="s">
        <v>242</v>
      </c>
    </row>
    <row r="196" spans="12:20" ht="15.9" x14ac:dyDescent="0.45">
      <c r="L196" s="350">
        <v>149511</v>
      </c>
      <c r="M196" s="351" t="s">
        <v>4230</v>
      </c>
      <c r="N196" s="352" t="s">
        <v>4231</v>
      </c>
      <c r="O196" s="352" t="s">
        <v>706</v>
      </c>
      <c r="P196" t="s">
        <v>242</v>
      </c>
    </row>
    <row r="197" spans="12:20" ht="15.9" x14ac:dyDescent="0.45">
      <c r="L197" s="350">
        <v>149512</v>
      </c>
      <c r="M197" s="351" t="s">
        <v>4232</v>
      </c>
      <c r="N197" s="352" t="s">
        <v>707</v>
      </c>
      <c r="O197" s="352" t="s">
        <v>708</v>
      </c>
      <c r="P197" t="s">
        <v>242</v>
      </c>
    </row>
    <row r="198" spans="12:20" ht="15.9" x14ac:dyDescent="0.45">
      <c r="L198" s="350">
        <v>149514</v>
      </c>
      <c r="M198" s="351" t="s">
        <v>4233</v>
      </c>
      <c r="N198" s="352" t="s">
        <v>709</v>
      </c>
      <c r="O198" s="352" t="s">
        <v>710</v>
      </c>
      <c r="P198" t="s">
        <v>242</v>
      </c>
    </row>
    <row r="199" spans="12:20" ht="15.9" x14ac:dyDescent="0.45">
      <c r="L199" s="350">
        <v>149621</v>
      </c>
      <c r="M199" s="351" t="s">
        <v>4234</v>
      </c>
      <c r="N199" s="352" t="s">
        <v>3709</v>
      </c>
      <c r="O199" s="352" t="s">
        <v>711</v>
      </c>
      <c r="P199" t="s">
        <v>242</v>
      </c>
    </row>
    <row r="200" spans="12:20" ht="15.9" x14ac:dyDescent="0.45">
      <c r="L200" s="350">
        <v>149622</v>
      </c>
      <c r="M200" s="351" t="s">
        <v>4235</v>
      </c>
      <c r="N200" s="352" t="s">
        <v>712</v>
      </c>
      <c r="O200" s="352" t="s">
        <v>713</v>
      </c>
      <c r="P200" t="s">
        <v>242</v>
      </c>
    </row>
    <row r="201" spans="12:20" ht="15.9" x14ac:dyDescent="0.45">
      <c r="L201" s="350">
        <v>149623</v>
      </c>
      <c r="M201" s="351" t="s">
        <v>4236</v>
      </c>
      <c r="N201" s="352" t="s">
        <v>4237</v>
      </c>
      <c r="O201" s="352" t="s">
        <v>714</v>
      </c>
      <c r="P201" t="s">
        <v>242</v>
      </c>
    </row>
    <row r="202" spans="12:20" ht="15.9" x14ac:dyDescent="0.45">
      <c r="L202" s="350">
        <v>149624</v>
      </c>
      <c r="M202" s="351" t="s">
        <v>4238</v>
      </c>
      <c r="N202" s="352" t="s">
        <v>715</v>
      </c>
      <c r="O202" s="352" t="s">
        <v>716</v>
      </c>
      <c r="P202" t="s">
        <v>242</v>
      </c>
    </row>
    <row r="203" spans="12:20" ht="15.9" x14ac:dyDescent="0.45">
      <c r="L203" s="350">
        <v>149625</v>
      </c>
      <c r="M203" s="351" t="s">
        <v>4239</v>
      </c>
      <c r="N203" s="352" t="s">
        <v>717</v>
      </c>
      <c r="O203" s="352" t="s">
        <v>718</v>
      </c>
      <c r="P203" t="s">
        <v>242</v>
      </c>
    </row>
    <row r="204" spans="12:20" ht="15.9" x14ac:dyDescent="0.45">
      <c r="L204" s="350">
        <v>149626</v>
      </c>
      <c r="M204" s="351" t="s">
        <v>4240</v>
      </c>
      <c r="N204" s="352" t="s">
        <v>719</v>
      </c>
      <c r="O204" s="352" t="s">
        <v>720</v>
      </c>
      <c r="P204" t="s">
        <v>242</v>
      </c>
    </row>
    <row r="205" spans="12:20" ht="15.9" x14ac:dyDescent="0.45">
      <c r="L205" s="350">
        <v>149627</v>
      </c>
      <c r="M205" s="351" t="s">
        <v>4241</v>
      </c>
      <c r="N205" s="352" t="s">
        <v>721</v>
      </c>
      <c r="O205" s="352" t="s">
        <v>722</v>
      </c>
      <c r="P205" t="s">
        <v>242</v>
      </c>
    </row>
    <row r="206" spans="12:20" ht="15.9" x14ac:dyDescent="0.45">
      <c r="L206" s="350">
        <v>149628</v>
      </c>
      <c r="M206" s="351" t="s">
        <v>4242</v>
      </c>
      <c r="N206" s="352" t="s">
        <v>723</v>
      </c>
      <c r="O206" s="352" t="s">
        <v>724</v>
      </c>
      <c r="P206" t="s">
        <v>242</v>
      </c>
    </row>
    <row r="207" spans="12:20" ht="15.9" x14ac:dyDescent="0.45">
      <c r="L207" s="350">
        <v>149629</v>
      </c>
      <c r="M207" s="351" t="s">
        <v>4244</v>
      </c>
      <c r="N207" s="352" t="s">
        <v>725</v>
      </c>
      <c r="O207" s="352" t="s">
        <v>726</v>
      </c>
      <c r="P207" t="s">
        <v>242</v>
      </c>
    </row>
    <row r="208" spans="12:20" ht="15.9" x14ac:dyDescent="0.45">
      <c r="L208" s="350">
        <v>149711</v>
      </c>
      <c r="M208" s="351" t="s">
        <v>4245</v>
      </c>
      <c r="N208" s="352" t="s">
        <v>727</v>
      </c>
      <c r="O208" s="352" t="s">
        <v>728</v>
      </c>
      <c r="P208" t="s">
        <v>242</v>
      </c>
    </row>
    <row r="209" spans="12:16" ht="15.9" x14ac:dyDescent="0.45">
      <c r="L209" s="350">
        <v>149811</v>
      </c>
      <c r="M209" s="351" t="s">
        <v>3477</v>
      </c>
      <c r="N209" s="352" t="s">
        <v>730</v>
      </c>
      <c r="O209" s="352" t="s">
        <v>731</v>
      </c>
      <c r="P209" t="s">
        <v>242</v>
      </c>
    </row>
    <row r="210" spans="12:16" ht="15.9" x14ac:dyDescent="0.45">
      <c r="L210" s="350">
        <v>149860</v>
      </c>
      <c r="M210" s="351" t="s">
        <v>4246</v>
      </c>
      <c r="N210" s="352" t="s">
        <v>4247</v>
      </c>
      <c r="O210" s="352" t="s">
        <v>383</v>
      </c>
      <c r="P210" t="s">
        <v>242</v>
      </c>
    </row>
    <row r="211" spans="12:16" ht="15.9" x14ac:dyDescent="0.45">
      <c r="L211" s="350">
        <v>149921</v>
      </c>
      <c r="M211" s="351" t="s">
        <v>4248</v>
      </c>
      <c r="N211" s="352" t="s">
        <v>732</v>
      </c>
      <c r="O211" s="352" t="s">
        <v>733</v>
      </c>
      <c r="P211" t="s">
        <v>242</v>
      </c>
    </row>
    <row r="212" spans="12:16" ht="15.9" x14ac:dyDescent="0.45">
      <c r="L212" s="350">
        <v>149962</v>
      </c>
      <c r="M212" s="351" t="s">
        <v>4249</v>
      </c>
      <c r="N212" s="352" t="s">
        <v>734</v>
      </c>
      <c r="O212" s="352" t="s">
        <v>735</v>
      </c>
      <c r="P212" t="s">
        <v>242</v>
      </c>
    </row>
    <row r="213" spans="12:16" ht="15.9" x14ac:dyDescent="0.45">
      <c r="L213" s="350">
        <v>149965</v>
      </c>
      <c r="M213" s="351" t="s">
        <v>4250</v>
      </c>
      <c r="N213" s="352" t="s">
        <v>736</v>
      </c>
      <c r="O213" s="352" t="s">
        <v>737</v>
      </c>
      <c r="P213" t="s">
        <v>242</v>
      </c>
    </row>
    <row r="214" spans="12:16" ht="15.9" x14ac:dyDescent="0.45">
      <c r="L214" s="350">
        <v>149967</v>
      </c>
      <c r="M214" s="351" t="s">
        <v>4251</v>
      </c>
      <c r="N214" s="352" t="s">
        <v>738</v>
      </c>
      <c r="O214" s="352" t="s">
        <v>739</v>
      </c>
      <c r="P214" t="s">
        <v>242</v>
      </c>
    </row>
    <row r="215" spans="12:16" ht="15.9" x14ac:dyDescent="0.45">
      <c r="L215" s="350">
        <v>149968</v>
      </c>
      <c r="M215" s="351" t="s">
        <v>4252</v>
      </c>
      <c r="N215" s="352" t="s">
        <v>740</v>
      </c>
      <c r="O215" s="352" t="s">
        <v>741</v>
      </c>
      <c r="P215" t="s">
        <v>242</v>
      </c>
    </row>
    <row r="216" spans="12:16" ht="15.9" x14ac:dyDescent="0.45">
      <c r="L216" s="350">
        <v>151153</v>
      </c>
      <c r="M216" s="351" t="s">
        <v>4253</v>
      </c>
      <c r="N216" s="352" t="s">
        <v>742</v>
      </c>
      <c r="O216" s="352" t="s">
        <v>743</v>
      </c>
      <c r="P216" t="s">
        <v>242</v>
      </c>
    </row>
    <row r="217" spans="12:16" ht="15.9" x14ac:dyDescent="0.45">
      <c r="L217" s="350">
        <v>151155</v>
      </c>
      <c r="M217" s="351" t="s">
        <v>4254</v>
      </c>
      <c r="N217" s="352" t="s">
        <v>744</v>
      </c>
      <c r="O217" s="352" t="s">
        <v>745</v>
      </c>
      <c r="P217" t="s">
        <v>242</v>
      </c>
    </row>
    <row r="218" spans="12:16" ht="15.9" x14ac:dyDescent="0.45">
      <c r="L218" s="350">
        <v>152111</v>
      </c>
      <c r="M218" s="351" t="s">
        <v>2367</v>
      </c>
      <c r="N218" s="352" t="s">
        <v>747</v>
      </c>
      <c r="O218" s="352" t="s">
        <v>748</v>
      </c>
      <c r="P218" t="s">
        <v>242</v>
      </c>
    </row>
    <row r="219" spans="12:16" ht="15.9" x14ac:dyDescent="0.45">
      <c r="L219" s="350">
        <v>154452</v>
      </c>
      <c r="M219" s="351" t="s">
        <v>4255</v>
      </c>
      <c r="N219" s="352" t="s">
        <v>749</v>
      </c>
      <c r="O219" s="352" t="s">
        <v>750</v>
      </c>
      <c r="P219" t="s">
        <v>242</v>
      </c>
    </row>
    <row r="220" spans="12:16" ht="15.9" x14ac:dyDescent="0.45">
      <c r="L220" s="350">
        <v>155199</v>
      </c>
      <c r="M220" s="351" t="s">
        <v>2372</v>
      </c>
      <c r="N220" s="352" t="s">
        <v>752</v>
      </c>
      <c r="O220" s="352" t="s">
        <v>753</v>
      </c>
      <c r="P220" t="s">
        <v>242</v>
      </c>
    </row>
    <row r="221" spans="12:16" ht="15.9" x14ac:dyDescent="0.45">
      <c r="L221" s="350">
        <v>159353</v>
      </c>
      <c r="M221" s="351" t="s">
        <v>4256</v>
      </c>
      <c r="N221" s="352" t="s">
        <v>754</v>
      </c>
      <c r="O221" s="352" t="s">
        <v>755</v>
      </c>
      <c r="P221" t="s">
        <v>242</v>
      </c>
    </row>
    <row r="222" spans="12:16" ht="15.9" x14ac:dyDescent="0.45">
      <c r="L222" s="350">
        <v>163100</v>
      </c>
      <c r="M222" s="351" t="s">
        <v>2376</v>
      </c>
      <c r="N222" s="352" t="s">
        <v>4257</v>
      </c>
      <c r="O222" s="352" t="s">
        <v>383</v>
      </c>
      <c r="P222" t="s">
        <v>242</v>
      </c>
    </row>
    <row r="223" spans="12:16" ht="15.9" x14ac:dyDescent="0.45">
      <c r="L223" s="350">
        <v>163311</v>
      </c>
      <c r="M223" s="351" t="s">
        <v>4258</v>
      </c>
      <c r="N223" s="352" t="s">
        <v>3710</v>
      </c>
      <c r="O223" s="352" t="s">
        <v>756</v>
      </c>
      <c r="P223" t="s">
        <v>242</v>
      </c>
    </row>
    <row r="224" spans="12:16" ht="15.9" x14ac:dyDescent="0.45">
      <c r="L224" s="350">
        <v>164211</v>
      </c>
      <c r="M224" s="351" t="s">
        <v>4259</v>
      </c>
      <c r="N224" s="352" t="s">
        <v>757</v>
      </c>
      <c r="O224" s="352" t="s">
        <v>758</v>
      </c>
      <c r="P224" t="s">
        <v>242</v>
      </c>
    </row>
    <row r="225" spans="12:16" ht="15.9" x14ac:dyDescent="0.45">
      <c r="L225" s="350">
        <v>171141</v>
      </c>
      <c r="M225" s="351" t="s">
        <v>4260</v>
      </c>
      <c r="N225" s="352" t="s">
        <v>4261</v>
      </c>
      <c r="O225" s="352" t="s">
        <v>760</v>
      </c>
      <c r="P225" t="s">
        <v>242</v>
      </c>
    </row>
    <row r="226" spans="12:16" ht="15.9" x14ac:dyDescent="0.45">
      <c r="L226" s="350">
        <v>171152</v>
      </c>
      <c r="M226" s="351" t="s">
        <v>4262</v>
      </c>
      <c r="N226" s="352" t="s">
        <v>761</v>
      </c>
      <c r="O226" s="352" t="s">
        <v>762</v>
      </c>
      <c r="P226" t="s">
        <v>242</v>
      </c>
    </row>
    <row r="227" spans="12:16" ht="15.9" x14ac:dyDescent="0.45">
      <c r="L227" s="350">
        <v>171155</v>
      </c>
      <c r="M227" s="351" t="s">
        <v>4263</v>
      </c>
      <c r="N227" s="352" t="s">
        <v>763</v>
      </c>
      <c r="O227" s="352" t="s">
        <v>764</v>
      </c>
      <c r="P227" t="s">
        <v>242</v>
      </c>
    </row>
    <row r="228" spans="12:16" ht="15.9" x14ac:dyDescent="0.45">
      <c r="L228" s="350">
        <v>171157</v>
      </c>
      <c r="M228" s="351" t="s">
        <v>4264</v>
      </c>
      <c r="N228" s="352" t="s">
        <v>4266</v>
      </c>
      <c r="O228" s="352" t="s">
        <v>765</v>
      </c>
      <c r="P228" t="s">
        <v>242</v>
      </c>
    </row>
    <row r="229" spans="12:16" ht="15.9" x14ac:dyDescent="0.45">
      <c r="L229" s="350">
        <v>171158</v>
      </c>
      <c r="M229" s="351" t="s">
        <v>4268</v>
      </c>
      <c r="N229" s="352" t="s">
        <v>767</v>
      </c>
      <c r="O229" s="352" t="s">
        <v>768</v>
      </c>
      <c r="P229" t="s">
        <v>242</v>
      </c>
    </row>
    <row r="230" spans="12:16" ht="15.9" x14ac:dyDescent="0.45">
      <c r="L230" s="350">
        <v>171211</v>
      </c>
      <c r="M230" s="351" t="s">
        <v>4269</v>
      </c>
      <c r="N230" s="352" t="s">
        <v>3711</v>
      </c>
      <c r="O230" s="352" t="s">
        <v>769</v>
      </c>
      <c r="P230" t="s">
        <v>242</v>
      </c>
    </row>
    <row r="231" spans="12:16" ht="15.9" x14ac:dyDescent="0.45">
      <c r="L231" s="350">
        <v>171212</v>
      </c>
      <c r="M231" s="351" t="s">
        <v>4270</v>
      </c>
      <c r="N231" s="352" t="s">
        <v>770</v>
      </c>
      <c r="O231" s="352" t="s">
        <v>771</v>
      </c>
      <c r="P231" t="s">
        <v>242</v>
      </c>
    </row>
    <row r="232" spans="12:16" ht="15.9" x14ac:dyDescent="0.45">
      <c r="L232" s="350">
        <v>171214</v>
      </c>
      <c r="M232" s="351" t="s">
        <v>4271</v>
      </c>
      <c r="N232" s="352" t="s">
        <v>772</v>
      </c>
      <c r="O232" s="352" t="s">
        <v>773</v>
      </c>
      <c r="P232" t="s">
        <v>242</v>
      </c>
    </row>
    <row r="233" spans="12:16" ht="15.9" x14ac:dyDescent="0.45">
      <c r="L233" s="350">
        <v>171250</v>
      </c>
      <c r="M233" s="351" t="s">
        <v>4273</v>
      </c>
      <c r="N233" s="352" t="s">
        <v>4274</v>
      </c>
      <c r="O233" s="352" t="s">
        <v>4275</v>
      </c>
      <c r="P233" t="s">
        <v>242</v>
      </c>
    </row>
    <row r="234" spans="12:16" ht="15.9" x14ac:dyDescent="0.45">
      <c r="L234" s="350">
        <v>171260</v>
      </c>
      <c r="M234" s="351" t="s">
        <v>4276</v>
      </c>
      <c r="N234" s="352" t="s">
        <v>4277</v>
      </c>
      <c r="O234" s="352" t="s">
        <v>383</v>
      </c>
      <c r="P234" t="s">
        <v>242</v>
      </c>
    </row>
    <row r="235" spans="12:16" ht="15.9" x14ac:dyDescent="0.45">
      <c r="L235" s="350">
        <v>171356</v>
      </c>
      <c r="M235" s="351" t="s">
        <v>4278</v>
      </c>
      <c r="N235" s="352" t="s">
        <v>774</v>
      </c>
      <c r="O235" s="352" t="s">
        <v>775</v>
      </c>
      <c r="P235" t="s">
        <v>242</v>
      </c>
    </row>
    <row r="236" spans="12:16" ht="15.9" x14ac:dyDescent="0.45">
      <c r="L236" s="350">
        <v>171393</v>
      </c>
      <c r="M236" s="351" t="s">
        <v>4279</v>
      </c>
      <c r="N236" s="352" t="s">
        <v>776</v>
      </c>
      <c r="O236" s="352" t="s">
        <v>775</v>
      </c>
      <c r="P236" t="s">
        <v>242</v>
      </c>
    </row>
    <row r="237" spans="12:16" ht="15.9" x14ac:dyDescent="0.45">
      <c r="L237" s="350">
        <v>171443</v>
      </c>
      <c r="M237" s="351" t="s">
        <v>4280</v>
      </c>
      <c r="N237" s="352" t="s">
        <v>777</v>
      </c>
      <c r="O237" s="352" t="s">
        <v>778</v>
      </c>
      <c r="P237" t="s">
        <v>242</v>
      </c>
    </row>
    <row r="238" spans="12:16" ht="15.9" x14ac:dyDescent="0.45">
      <c r="L238" s="350">
        <v>171445</v>
      </c>
      <c r="M238" s="351" t="s">
        <v>4281</v>
      </c>
      <c r="N238" s="352" t="s">
        <v>779</v>
      </c>
      <c r="O238" s="352" t="s">
        <v>780</v>
      </c>
      <c r="P238" t="s">
        <v>242</v>
      </c>
    </row>
    <row r="239" spans="12:16" ht="15.9" x14ac:dyDescent="0.45">
      <c r="L239" s="350">
        <v>171447</v>
      </c>
      <c r="M239" s="351" t="s">
        <v>4282</v>
      </c>
      <c r="N239" s="352" t="s">
        <v>781</v>
      </c>
      <c r="O239" s="352" t="s">
        <v>782</v>
      </c>
      <c r="P239" t="s">
        <v>242</v>
      </c>
    </row>
    <row r="240" spans="12:16" ht="15.9" x14ac:dyDescent="0.45">
      <c r="L240" s="350">
        <v>171449</v>
      </c>
      <c r="M240" s="351" t="s">
        <v>4283</v>
      </c>
      <c r="N240" s="352" t="s">
        <v>783</v>
      </c>
      <c r="O240" s="352" t="s">
        <v>784</v>
      </c>
      <c r="P240" t="s">
        <v>242</v>
      </c>
    </row>
    <row r="241" spans="12:16" ht="15.9" x14ac:dyDescent="0.45">
      <c r="L241" s="350">
        <v>171450</v>
      </c>
      <c r="M241" s="351" t="s">
        <v>4284</v>
      </c>
      <c r="N241" s="352" t="s">
        <v>785</v>
      </c>
      <c r="O241" s="352" t="s">
        <v>786</v>
      </c>
      <c r="P241" t="s">
        <v>242</v>
      </c>
    </row>
    <row r="242" spans="12:16" ht="15.9" x14ac:dyDescent="0.45">
      <c r="L242" s="350">
        <v>171471</v>
      </c>
      <c r="M242" s="351" t="s">
        <v>4285</v>
      </c>
      <c r="N242" s="352" t="s">
        <v>787</v>
      </c>
      <c r="O242" s="352" t="s">
        <v>788</v>
      </c>
      <c r="P242" t="s">
        <v>242</v>
      </c>
    </row>
    <row r="243" spans="12:16" ht="15.9" x14ac:dyDescent="0.45">
      <c r="L243" s="350">
        <v>171472</v>
      </c>
      <c r="M243" s="351" t="s">
        <v>4286</v>
      </c>
      <c r="N243" s="352" t="s">
        <v>789</v>
      </c>
      <c r="O243" s="352" t="s">
        <v>790</v>
      </c>
      <c r="P243" t="s">
        <v>242</v>
      </c>
    </row>
    <row r="244" spans="12:16" ht="15.9" x14ac:dyDescent="0.45">
      <c r="L244" s="350">
        <v>171473</v>
      </c>
      <c r="M244" s="351" t="s">
        <v>4287</v>
      </c>
      <c r="N244" s="352" t="s">
        <v>791</v>
      </c>
      <c r="O244" s="352" t="s">
        <v>792</v>
      </c>
      <c r="P244" t="s">
        <v>242</v>
      </c>
    </row>
    <row r="245" spans="12:16" ht="15.9" x14ac:dyDescent="0.45">
      <c r="L245" s="350">
        <v>171475</v>
      </c>
      <c r="M245" s="351" t="s">
        <v>4288</v>
      </c>
      <c r="N245" s="352" t="s">
        <v>4289</v>
      </c>
      <c r="O245" s="352" t="s">
        <v>793</v>
      </c>
      <c r="P245" t="s">
        <v>242</v>
      </c>
    </row>
    <row r="246" spans="12:16" ht="15.9" x14ac:dyDescent="0.45">
      <c r="L246" s="350">
        <v>171476</v>
      </c>
      <c r="M246" s="351" t="s">
        <v>4290</v>
      </c>
      <c r="N246" s="352" t="s">
        <v>4291</v>
      </c>
      <c r="O246" s="352" t="s">
        <v>794</v>
      </c>
      <c r="P246" t="s">
        <v>242</v>
      </c>
    </row>
    <row r="247" spans="12:16" ht="15.9" x14ac:dyDescent="0.45">
      <c r="L247" s="350">
        <v>171617</v>
      </c>
      <c r="M247" s="351" t="s">
        <v>4293</v>
      </c>
      <c r="N247" s="352" t="s">
        <v>795</v>
      </c>
      <c r="O247" s="352" t="s">
        <v>796</v>
      </c>
      <c r="P247" t="s">
        <v>242</v>
      </c>
    </row>
    <row r="248" spans="12:16" ht="15.9" x14ac:dyDescent="0.45">
      <c r="L248" s="350">
        <v>171618</v>
      </c>
      <c r="M248" s="351" t="s">
        <v>4294</v>
      </c>
      <c r="N248" s="352" t="s">
        <v>4295</v>
      </c>
      <c r="O248" s="352" t="s">
        <v>797</v>
      </c>
      <c r="P248" t="s">
        <v>242</v>
      </c>
    </row>
    <row r="249" spans="12:16" ht="15.9" x14ac:dyDescent="0.45">
      <c r="L249" s="350">
        <v>171619</v>
      </c>
      <c r="M249" s="351" t="s">
        <v>4296</v>
      </c>
      <c r="N249" s="352" t="s">
        <v>798</v>
      </c>
      <c r="O249" s="352" t="s">
        <v>799</v>
      </c>
      <c r="P249" t="s">
        <v>242</v>
      </c>
    </row>
    <row r="250" spans="12:16" ht="15.9" x14ac:dyDescent="0.45">
      <c r="L250" s="350">
        <v>171620</v>
      </c>
      <c r="M250" s="351" t="s">
        <v>4297</v>
      </c>
      <c r="N250" s="352" t="s">
        <v>3712</v>
      </c>
      <c r="O250" s="352" t="s">
        <v>383</v>
      </c>
      <c r="P250" t="s">
        <v>242</v>
      </c>
    </row>
    <row r="251" spans="12:16" ht="15.9" x14ac:dyDescent="0.45">
      <c r="L251" s="350">
        <v>171621</v>
      </c>
      <c r="M251" s="351" t="s">
        <v>4298</v>
      </c>
      <c r="N251" s="352" t="s">
        <v>4299</v>
      </c>
      <c r="O251" s="352" t="s">
        <v>800</v>
      </c>
      <c r="P251" t="s">
        <v>242</v>
      </c>
    </row>
    <row r="252" spans="12:16" ht="15.9" x14ac:dyDescent="0.45">
      <c r="L252" s="350">
        <v>171623</v>
      </c>
      <c r="M252" s="351" t="s">
        <v>4300</v>
      </c>
      <c r="N252" s="352" t="s">
        <v>801</v>
      </c>
      <c r="O252" s="352" t="s">
        <v>383</v>
      </c>
      <c r="P252" t="s">
        <v>242</v>
      </c>
    </row>
    <row r="253" spans="12:16" ht="15.9" x14ac:dyDescent="0.45">
      <c r="L253" s="350">
        <v>171625</v>
      </c>
      <c r="M253" s="351" t="s">
        <v>4301</v>
      </c>
      <c r="N253" s="352" t="s">
        <v>4302</v>
      </c>
      <c r="O253" s="352" t="s">
        <v>802</v>
      </c>
      <c r="P253" t="s">
        <v>242</v>
      </c>
    </row>
    <row r="254" spans="12:16" ht="15.9" x14ac:dyDescent="0.45">
      <c r="L254" s="350">
        <v>171627</v>
      </c>
      <c r="M254" s="351" t="s">
        <v>4303</v>
      </c>
      <c r="N254" s="352" t="s">
        <v>4304</v>
      </c>
      <c r="O254" s="352" t="s">
        <v>803</v>
      </c>
      <c r="P254" t="s">
        <v>242</v>
      </c>
    </row>
    <row r="255" spans="12:16" ht="15.9" x14ac:dyDescent="0.45">
      <c r="L255" s="350">
        <v>171628</v>
      </c>
      <c r="M255" s="351" t="s">
        <v>4306</v>
      </c>
      <c r="N255" s="352" t="s">
        <v>804</v>
      </c>
      <c r="O255" s="352" t="s">
        <v>805</v>
      </c>
      <c r="P255" t="s">
        <v>242</v>
      </c>
    </row>
    <row r="256" spans="12:16" ht="15.9" x14ac:dyDescent="0.45">
      <c r="L256" s="350">
        <v>171712</v>
      </c>
      <c r="M256" s="351" t="s">
        <v>4307</v>
      </c>
      <c r="N256" s="352" t="s">
        <v>4308</v>
      </c>
      <c r="O256" s="352" t="s">
        <v>806</v>
      </c>
      <c r="P256" t="s">
        <v>242</v>
      </c>
    </row>
    <row r="257" spans="12:16" ht="15.9" x14ac:dyDescent="0.45">
      <c r="L257" s="350">
        <v>171721</v>
      </c>
      <c r="M257" s="351" t="s">
        <v>2446</v>
      </c>
      <c r="N257" s="352" t="s">
        <v>4309</v>
      </c>
      <c r="O257" s="352" t="s">
        <v>807</v>
      </c>
      <c r="P257" t="s">
        <v>242</v>
      </c>
    </row>
    <row r="258" spans="12:16" ht="15.9" x14ac:dyDescent="0.45">
      <c r="L258" s="350">
        <v>171813</v>
      </c>
      <c r="M258" s="351" t="s">
        <v>4310</v>
      </c>
      <c r="N258" s="352" t="s">
        <v>4311</v>
      </c>
      <c r="O258" s="352" t="s">
        <v>808</v>
      </c>
      <c r="P258" t="s">
        <v>242</v>
      </c>
    </row>
    <row r="259" spans="12:16" ht="15.9" x14ac:dyDescent="0.45">
      <c r="L259" s="350">
        <v>171815</v>
      </c>
      <c r="M259" s="351" t="s">
        <v>4312</v>
      </c>
      <c r="N259" s="352" t="s">
        <v>4313</v>
      </c>
      <c r="O259" s="352" t="s">
        <v>809</v>
      </c>
      <c r="P259" t="s">
        <v>242</v>
      </c>
    </row>
    <row r="260" spans="12:16" ht="15.9" x14ac:dyDescent="0.45">
      <c r="L260" s="350">
        <v>171822</v>
      </c>
      <c r="M260" s="351" t="s">
        <v>4314</v>
      </c>
      <c r="N260" s="352" t="s">
        <v>810</v>
      </c>
      <c r="O260" s="352" t="s">
        <v>811</v>
      </c>
      <c r="P260" t="s">
        <v>242</v>
      </c>
    </row>
    <row r="261" spans="12:16" ht="15.9" x14ac:dyDescent="0.45">
      <c r="L261" s="350">
        <v>171833</v>
      </c>
      <c r="M261" s="351" t="s">
        <v>4315</v>
      </c>
      <c r="N261" s="352" t="s">
        <v>812</v>
      </c>
      <c r="O261" s="352" t="s">
        <v>813</v>
      </c>
      <c r="P261" t="s">
        <v>242</v>
      </c>
    </row>
    <row r="262" spans="12:16" ht="15.9" x14ac:dyDescent="0.45">
      <c r="L262" s="350">
        <v>171844</v>
      </c>
      <c r="M262" s="351" t="s">
        <v>4316</v>
      </c>
      <c r="N262" s="352" t="s">
        <v>814</v>
      </c>
      <c r="O262" s="352" t="s">
        <v>815</v>
      </c>
      <c r="P262" t="s">
        <v>242</v>
      </c>
    </row>
    <row r="263" spans="12:16" ht="15.9" x14ac:dyDescent="0.45">
      <c r="L263" s="350">
        <v>171851</v>
      </c>
      <c r="M263" s="351" t="s">
        <v>4317</v>
      </c>
      <c r="N263" s="352" t="s">
        <v>816</v>
      </c>
      <c r="O263" s="352" t="s">
        <v>817</v>
      </c>
      <c r="P263" t="s">
        <v>242</v>
      </c>
    </row>
    <row r="264" spans="12:16" ht="15.9" x14ac:dyDescent="0.45">
      <c r="L264" s="350">
        <v>171853</v>
      </c>
      <c r="M264" s="351" t="s">
        <v>4318</v>
      </c>
      <c r="N264" s="352" t="s">
        <v>818</v>
      </c>
      <c r="O264" s="352" t="s">
        <v>819</v>
      </c>
      <c r="P264" t="s">
        <v>242</v>
      </c>
    </row>
    <row r="265" spans="12:16" ht="15.9" x14ac:dyDescent="0.45">
      <c r="L265" s="350">
        <v>171873</v>
      </c>
      <c r="M265" s="351" t="s">
        <v>4319</v>
      </c>
      <c r="N265" s="352" t="s">
        <v>4321</v>
      </c>
      <c r="O265" s="352" t="s">
        <v>820</v>
      </c>
      <c r="P265" t="s">
        <v>242</v>
      </c>
    </row>
    <row r="266" spans="12:16" ht="15.9" x14ac:dyDescent="0.45">
      <c r="L266" s="350">
        <v>171875</v>
      </c>
      <c r="M266" s="351" t="s">
        <v>4323</v>
      </c>
      <c r="N266" s="352" t="s">
        <v>821</v>
      </c>
      <c r="O266" s="352" t="s">
        <v>822</v>
      </c>
      <c r="P266" t="s">
        <v>242</v>
      </c>
    </row>
    <row r="267" spans="12:16" ht="15.9" x14ac:dyDescent="0.45">
      <c r="L267" s="350">
        <v>172321</v>
      </c>
      <c r="M267" s="351" t="s">
        <v>4324</v>
      </c>
      <c r="N267" s="352" t="s">
        <v>824</v>
      </c>
      <c r="O267" s="352" t="s">
        <v>825</v>
      </c>
      <c r="P267" t="s">
        <v>242</v>
      </c>
    </row>
    <row r="268" spans="12:16" ht="15.9" x14ac:dyDescent="0.45">
      <c r="L268" s="350">
        <v>172421</v>
      </c>
      <c r="M268" s="351" t="s">
        <v>826</v>
      </c>
      <c r="N268" s="352" t="s">
        <v>827</v>
      </c>
      <c r="O268" s="352" t="s">
        <v>828</v>
      </c>
      <c r="P268" t="s">
        <v>242</v>
      </c>
    </row>
    <row r="269" spans="12:16" ht="15.9" x14ac:dyDescent="0.45">
      <c r="L269" s="350">
        <v>172423</v>
      </c>
      <c r="M269" s="351" t="s">
        <v>4325</v>
      </c>
      <c r="N269" s="352" t="s">
        <v>829</v>
      </c>
      <c r="O269" s="352" t="s">
        <v>830</v>
      </c>
      <c r="P269" t="s">
        <v>242</v>
      </c>
    </row>
    <row r="270" spans="12:16" ht="15.9" x14ac:dyDescent="0.45">
      <c r="L270" s="350">
        <v>172424</v>
      </c>
      <c r="M270" s="351" t="s">
        <v>4326</v>
      </c>
      <c r="N270" s="352" t="s">
        <v>831</v>
      </c>
      <c r="O270" s="352" t="s">
        <v>832</v>
      </c>
      <c r="P270" t="s">
        <v>242</v>
      </c>
    </row>
    <row r="271" spans="12:16" ht="15.9" x14ac:dyDescent="0.45">
      <c r="L271" s="350">
        <v>173321</v>
      </c>
      <c r="M271" s="351" t="s">
        <v>4327</v>
      </c>
      <c r="N271" s="352" t="s">
        <v>833</v>
      </c>
      <c r="O271" s="352" t="s">
        <v>834</v>
      </c>
      <c r="P271" t="s">
        <v>242</v>
      </c>
    </row>
    <row r="272" spans="12:16" ht="15.9" x14ac:dyDescent="0.45">
      <c r="L272" s="350">
        <v>173421</v>
      </c>
      <c r="M272" s="351" t="s">
        <v>4328</v>
      </c>
      <c r="N272" s="352" t="s">
        <v>835</v>
      </c>
      <c r="O272" s="352" t="s">
        <v>836</v>
      </c>
      <c r="P272" t="s">
        <v>242</v>
      </c>
    </row>
    <row r="273" spans="12:16" ht="15.9" x14ac:dyDescent="0.45">
      <c r="L273" s="350">
        <v>174121</v>
      </c>
      <c r="M273" s="351" t="s">
        <v>4329</v>
      </c>
      <c r="N273" s="352" t="s">
        <v>837</v>
      </c>
      <c r="O273" s="352" t="s">
        <v>838</v>
      </c>
      <c r="P273" t="s">
        <v>242</v>
      </c>
    </row>
    <row r="274" spans="12:16" ht="15.9" x14ac:dyDescent="0.45">
      <c r="L274" s="350">
        <v>174122</v>
      </c>
      <c r="M274" s="351" t="s">
        <v>4330</v>
      </c>
      <c r="N274" s="352" t="s">
        <v>839</v>
      </c>
      <c r="O274" s="352" t="s">
        <v>840</v>
      </c>
      <c r="P274" t="s">
        <v>242</v>
      </c>
    </row>
    <row r="275" spans="12:16" ht="15.9" x14ac:dyDescent="0.45">
      <c r="L275" s="350">
        <v>174123</v>
      </c>
      <c r="M275" s="351" t="s">
        <v>4331</v>
      </c>
      <c r="N275" s="352" t="s">
        <v>841</v>
      </c>
      <c r="O275" s="352" t="s">
        <v>842</v>
      </c>
      <c r="P275" t="s">
        <v>242</v>
      </c>
    </row>
    <row r="276" spans="12:16" ht="15.9" x14ac:dyDescent="0.45">
      <c r="L276" s="350">
        <v>174221</v>
      </c>
      <c r="M276" s="351" t="s">
        <v>4332</v>
      </c>
      <c r="N276" s="352" t="s">
        <v>843</v>
      </c>
      <c r="O276" s="352" t="s">
        <v>844</v>
      </c>
      <c r="P276" t="s">
        <v>242</v>
      </c>
    </row>
    <row r="277" spans="12:16" ht="15.9" x14ac:dyDescent="0.45">
      <c r="L277" s="350">
        <v>174321</v>
      </c>
      <c r="M277" s="351" t="s">
        <v>4333</v>
      </c>
      <c r="N277" s="352" t="s">
        <v>845</v>
      </c>
      <c r="O277" s="352" t="s">
        <v>846</v>
      </c>
      <c r="P277" t="s">
        <v>242</v>
      </c>
    </row>
    <row r="278" spans="12:16" ht="15.9" x14ac:dyDescent="0.45">
      <c r="L278" s="350">
        <v>174322</v>
      </c>
      <c r="M278" s="351" t="s">
        <v>4334</v>
      </c>
      <c r="N278" s="352" t="s">
        <v>845</v>
      </c>
      <c r="O278" s="352" t="s">
        <v>847</v>
      </c>
      <c r="P278" t="s">
        <v>242</v>
      </c>
    </row>
    <row r="279" spans="12:16" ht="15.9" x14ac:dyDescent="0.45">
      <c r="L279" s="350">
        <v>174499</v>
      </c>
      <c r="M279" s="351" t="s">
        <v>2478</v>
      </c>
      <c r="N279" s="352" t="s">
        <v>849</v>
      </c>
      <c r="O279" s="352" t="s">
        <v>850</v>
      </c>
      <c r="P279" t="s">
        <v>242</v>
      </c>
    </row>
    <row r="280" spans="12:16" ht="15.9" x14ac:dyDescent="0.45">
      <c r="L280" s="350">
        <v>174521</v>
      </c>
      <c r="M280" s="351" t="s">
        <v>4335</v>
      </c>
      <c r="N280" s="352" t="s">
        <v>851</v>
      </c>
      <c r="O280" s="352" t="s">
        <v>852</v>
      </c>
      <c r="P280" t="s">
        <v>242</v>
      </c>
    </row>
    <row r="281" spans="12:16" ht="15.9" x14ac:dyDescent="0.45">
      <c r="L281" s="350">
        <v>175121</v>
      </c>
      <c r="M281" s="351" t="s">
        <v>4336</v>
      </c>
      <c r="N281" s="352" t="s">
        <v>853</v>
      </c>
      <c r="O281" s="352" t="s">
        <v>854</v>
      </c>
      <c r="P281" t="s">
        <v>242</v>
      </c>
    </row>
    <row r="282" spans="12:16" ht="15.9" x14ac:dyDescent="0.45">
      <c r="L282" s="350">
        <v>175221</v>
      </c>
      <c r="M282" s="351" t="s">
        <v>4337</v>
      </c>
      <c r="N282" s="352" t="s">
        <v>855</v>
      </c>
      <c r="O282" s="352" t="s">
        <v>856</v>
      </c>
      <c r="P282" t="s">
        <v>242</v>
      </c>
    </row>
    <row r="283" spans="12:16" ht="15.9" x14ac:dyDescent="0.45">
      <c r="L283" s="350">
        <v>175300</v>
      </c>
      <c r="M283" s="351" t="s">
        <v>4338</v>
      </c>
      <c r="N283" s="352" t="s">
        <v>4339</v>
      </c>
      <c r="O283" s="352" t="s">
        <v>383</v>
      </c>
      <c r="P283" t="s">
        <v>242</v>
      </c>
    </row>
    <row r="284" spans="12:16" ht="15.9" x14ac:dyDescent="0.45">
      <c r="L284" s="350">
        <v>175321</v>
      </c>
      <c r="M284" s="351" t="s">
        <v>4340</v>
      </c>
      <c r="N284" s="352" t="s">
        <v>857</v>
      </c>
      <c r="O284" s="352" t="s">
        <v>858</v>
      </c>
      <c r="P284" t="s">
        <v>242</v>
      </c>
    </row>
    <row r="285" spans="12:16" ht="15.9" x14ac:dyDescent="0.45">
      <c r="L285" s="350">
        <v>175421</v>
      </c>
      <c r="M285" s="351" t="s">
        <v>4341</v>
      </c>
      <c r="N285" s="352" t="s">
        <v>859</v>
      </c>
      <c r="O285" s="352" t="s">
        <v>860</v>
      </c>
      <c r="P285" t="s">
        <v>242</v>
      </c>
    </row>
    <row r="286" spans="12:16" ht="15.9" x14ac:dyDescent="0.45">
      <c r="L286" s="350">
        <v>175422</v>
      </c>
      <c r="M286" s="351" t="s">
        <v>4342</v>
      </c>
      <c r="N286" s="352" t="s">
        <v>861</v>
      </c>
      <c r="O286" s="352" t="s">
        <v>862</v>
      </c>
      <c r="P286" t="s">
        <v>242</v>
      </c>
    </row>
    <row r="287" spans="12:16" ht="15.9" x14ac:dyDescent="0.45">
      <c r="L287" s="350">
        <v>175521</v>
      </c>
      <c r="M287" s="351" t="s">
        <v>4343</v>
      </c>
      <c r="N287" s="352" t="s">
        <v>863</v>
      </c>
      <c r="O287" s="352" t="s">
        <v>864</v>
      </c>
      <c r="P287" t="s">
        <v>242</v>
      </c>
    </row>
    <row r="288" spans="12:16" ht="15.9" x14ac:dyDescent="0.45">
      <c r="L288" s="350">
        <v>175621</v>
      </c>
      <c r="M288" s="351" t="s">
        <v>4344</v>
      </c>
      <c r="N288" s="352" t="s">
        <v>865</v>
      </c>
      <c r="O288" s="352" t="s">
        <v>866</v>
      </c>
      <c r="P288" t="s">
        <v>242</v>
      </c>
    </row>
    <row r="289" spans="12:16" ht="15.9" x14ac:dyDescent="0.45">
      <c r="L289" s="350">
        <v>175622</v>
      </c>
      <c r="M289" s="351" t="s">
        <v>4345</v>
      </c>
      <c r="N289" s="352" t="s">
        <v>867</v>
      </c>
      <c r="O289" s="352" t="s">
        <v>868</v>
      </c>
      <c r="P289" t="s">
        <v>242</v>
      </c>
    </row>
    <row r="290" spans="12:16" ht="15.9" x14ac:dyDescent="0.45">
      <c r="L290" s="350">
        <v>175721</v>
      </c>
      <c r="M290" s="351" t="s">
        <v>4346</v>
      </c>
      <c r="N290" s="352" t="s">
        <v>869</v>
      </c>
      <c r="O290" s="352" t="s">
        <v>870</v>
      </c>
      <c r="P290" t="s">
        <v>242</v>
      </c>
    </row>
    <row r="291" spans="12:16" ht="15.9" x14ac:dyDescent="0.45">
      <c r="L291" s="350">
        <v>175821</v>
      </c>
      <c r="M291" s="351" t="s">
        <v>4347</v>
      </c>
      <c r="N291" s="352" t="s">
        <v>871</v>
      </c>
      <c r="O291" s="352" t="s">
        <v>872</v>
      </c>
      <c r="P291" t="s">
        <v>242</v>
      </c>
    </row>
    <row r="292" spans="12:16" ht="15.9" x14ac:dyDescent="0.45">
      <c r="L292" s="350">
        <v>176221</v>
      </c>
      <c r="M292" s="351" t="s">
        <v>4348</v>
      </c>
      <c r="N292" s="352" t="s">
        <v>873</v>
      </c>
      <c r="O292" s="352" t="s">
        <v>874</v>
      </c>
      <c r="P292" t="s">
        <v>242</v>
      </c>
    </row>
    <row r="293" spans="12:16" ht="15.9" x14ac:dyDescent="0.45">
      <c r="L293" s="350">
        <v>176321</v>
      </c>
      <c r="M293" s="351" t="s">
        <v>4349</v>
      </c>
      <c r="N293" s="352" t="s">
        <v>875</v>
      </c>
      <c r="O293" s="352" t="s">
        <v>876</v>
      </c>
      <c r="P293" t="s">
        <v>242</v>
      </c>
    </row>
    <row r="294" spans="12:16" ht="15.9" x14ac:dyDescent="0.45">
      <c r="L294" s="350">
        <v>176322</v>
      </c>
      <c r="M294" s="351" t="s">
        <v>4350</v>
      </c>
      <c r="N294" s="352" t="s">
        <v>877</v>
      </c>
      <c r="O294" s="352" t="s">
        <v>878</v>
      </c>
      <c r="P294" t="s">
        <v>242</v>
      </c>
    </row>
    <row r="295" spans="12:16" ht="15.9" x14ac:dyDescent="0.45">
      <c r="L295" s="350">
        <v>176521</v>
      </c>
      <c r="M295" s="351" t="s">
        <v>4351</v>
      </c>
      <c r="N295" s="352" t="s">
        <v>879</v>
      </c>
      <c r="O295" s="352" t="s">
        <v>880</v>
      </c>
      <c r="P295" t="s">
        <v>242</v>
      </c>
    </row>
    <row r="296" spans="12:16" ht="15.9" x14ac:dyDescent="0.45">
      <c r="L296" s="350">
        <v>176621</v>
      </c>
      <c r="M296" s="351" t="s">
        <v>4352</v>
      </c>
      <c r="N296" s="352" t="s">
        <v>881</v>
      </c>
      <c r="O296" s="352" t="s">
        <v>882</v>
      </c>
      <c r="P296" t="s">
        <v>242</v>
      </c>
    </row>
    <row r="297" spans="12:16" ht="15.9" x14ac:dyDescent="0.45">
      <c r="L297" s="350">
        <v>176721</v>
      </c>
      <c r="M297" s="351" t="s">
        <v>4353</v>
      </c>
      <c r="N297" s="352" t="s">
        <v>884</v>
      </c>
      <c r="O297" s="352" t="s">
        <v>885</v>
      </c>
      <c r="P297" t="s">
        <v>242</v>
      </c>
    </row>
    <row r="298" spans="12:16" ht="15.9" x14ac:dyDescent="0.45">
      <c r="L298" s="350">
        <v>176722</v>
      </c>
      <c r="M298" s="351" t="s">
        <v>4354</v>
      </c>
      <c r="N298" s="352" t="s">
        <v>886</v>
      </c>
      <c r="O298" s="352" t="s">
        <v>887</v>
      </c>
      <c r="P298" t="s">
        <v>242</v>
      </c>
    </row>
    <row r="299" spans="12:16" ht="15.9" x14ac:dyDescent="0.45">
      <c r="L299" s="350">
        <v>176821</v>
      </c>
      <c r="M299" s="351" t="s">
        <v>4355</v>
      </c>
      <c r="N299" s="352" t="s">
        <v>888</v>
      </c>
      <c r="O299" s="352" t="s">
        <v>889</v>
      </c>
      <c r="P299" t="s">
        <v>242</v>
      </c>
    </row>
    <row r="300" spans="12:16" ht="15.9" x14ac:dyDescent="0.45">
      <c r="L300" s="350">
        <v>177121</v>
      </c>
      <c r="M300" s="351" t="s">
        <v>4356</v>
      </c>
      <c r="N300" s="352" t="s">
        <v>890</v>
      </c>
      <c r="O300" s="352" t="s">
        <v>891</v>
      </c>
      <c r="P300" t="s">
        <v>242</v>
      </c>
    </row>
    <row r="301" spans="12:16" ht="15.9" x14ac:dyDescent="0.45">
      <c r="L301" s="350">
        <v>177122</v>
      </c>
      <c r="M301" s="351" t="s">
        <v>4357</v>
      </c>
      <c r="N301" s="352" t="s">
        <v>892</v>
      </c>
      <c r="O301" s="352" t="s">
        <v>893</v>
      </c>
      <c r="P301" t="s">
        <v>242</v>
      </c>
    </row>
    <row r="302" spans="12:16" ht="15.9" x14ac:dyDescent="0.45">
      <c r="L302" s="350">
        <v>177223</v>
      </c>
      <c r="M302" s="351" t="s">
        <v>4358</v>
      </c>
      <c r="N302" s="352" t="s">
        <v>894</v>
      </c>
      <c r="O302" s="352" t="s">
        <v>895</v>
      </c>
      <c r="P302" t="s">
        <v>242</v>
      </c>
    </row>
    <row r="303" spans="12:16" ht="15.9" x14ac:dyDescent="0.45">
      <c r="L303" s="350">
        <v>177421</v>
      </c>
      <c r="M303" s="351" t="s">
        <v>2523</v>
      </c>
      <c r="N303" s="352" t="s">
        <v>896</v>
      </c>
      <c r="O303" s="352" t="s">
        <v>897</v>
      </c>
      <c r="P303" t="s">
        <v>242</v>
      </c>
    </row>
    <row r="304" spans="12:16" ht="15.9" x14ac:dyDescent="0.45">
      <c r="L304" s="350">
        <v>177521</v>
      </c>
      <c r="M304" s="351" t="s">
        <v>4359</v>
      </c>
      <c r="N304" s="352" t="s">
        <v>898</v>
      </c>
      <c r="O304" s="352" t="s">
        <v>899</v>
      </c>
      <c r="P304" t="s">
        <v>242</v>
      </c>
    </row>
    <row r="305" spans="12:16" ht="15.9" x14ac:dyDescent="0.45">
      <c r="L305" s="350">
        <v>177621</v>
      </c>
      <c r="M305" s="351" t="s">
        <v>4360</v>
      </c>
      <c r="N305" s="352" t="s">
        <v>900</v>
      </c>
      <c r="O305" s="352" t="s">
        <v>901</v>
      </c>
      <c r="P305" t="s">
        <v>242</v>
      </c>
    </row>
    <row r="306" spans="12:16" ht="15.9" x14ac:dyDescent="0.45">
      <c r="L306" s="350">
        <v>177622</v>
      </c>
      <c r="M306" s="351" t="s">
        <v>4362</v>
      </c>
      <c r="N306" s="352" t="s">
        <v>902</v>
      </c>
      <c r="O306" s="352" t="s">
        <v>903</v>
      </c>
      <c r="P306" t="s">
        <v>242</v>
      </c>
    </row>
    <row r="307" spans="12:16" ht="15.9" x14ac:dyDescent="0.45">
      <c r="L307" s="350">
        <v>177710</v>
      </c>
      <c r="M307" s="351" t="s">
        <v>4364</v>
      </c>
      <c r="N307" s="352" t="s">
        <v>4365</v>
      </c>
      <c r="O307" s="352" t="s">
        <v>904</v>
      </c>
      <c r="P307" t="s">
        <v>242</v>
      </c>
    </row>
    <row r="308" spans="12:16" ht="15.9" x14ac:dyDescent="0.45">
      <c r="L308" s="350">
        <v>178121</v>
      </c>
      <c r="M308" s="351" t="s">
        <v>4366</v>
      </c>
      <c r="N308" s="352" t="s">
        <v>4367</v>
      </c>
      <c r="O308" s="352" t="s">
        <v>905</v>
      </c>
      <c r="P308" t="s">
        <v>242</v>
      </c>
    </row>
    <row r="309" spans="12:16" ht="15.9" x14ac:dyDescent="0.45">
      <c r="L309" s="350">
        <v>178299</v>
      </c>
      <c r="M309" s="351" t="s">
        <v>2534</v>
      </c>
      <c r="N309" s="352" t="s">
        <v>906</v>
      </c>
      <c r="O309" s="352" t="s">
        <v>907</v>
      </c>
      <c r="P309" t="s">
        <v>242</v>
      </c>
    </row>
    <row r="310" spans="12:16" ht="15.9" x14ac:dyDescent="0.45">
      <c r="L310" s="350">
        <v>178322</v>
      </c>
      <c r="M310" s="351" t="s">
        <v>4368</v>
      </c>
      <c r="N310" s="352" t="s">
        <v>908</v>
      </c>
      <c r="O310" s="352" t="s">
        <v>909</v>
      </c>
      <c r="P310" t="s">
        <v>242</v>
      </c>
    </row>
    <row r="311" spans="12:16" ht="15.9" x14ac:dyDescent="0.45">
      <c r="L311" s="350">
        <v>178960</v>
      </c>
      <c r="M311" s="351" t="s">
        <v>4369</v>
      </c>
      <c r="N311" s="352" t="s">
        <v>4370</v>
      </c>
      <c r="O311" s="352" t="s">
        <v>383</v>
      </c>
      <c r="P311" t="s">
        <v>242</v>
      </c>
    </row>
    <row r="312" spans="12:16" ht="15.9" x14ac:dyDescent="0.45">
      <c r="L312" s="350">
        <v>179001</v>
      </c>
      <c r="M312" s="351" t="s">
        <v>4371</v>
      </c>
      <c r="N312" s="352" t="s">
        <v>910</v>
      </c>
      <c r="O312" s="370" t="s">
        <v>911</v>
      </c>
      <c r="P312" t="s">
        <v>242</v>
      </c>
    </row>
    <row r="313" spans="12:16" ht="15.9" x14ac:dyDescent="0.45">
      <c r="L313" s="350">
        <v>179019</v>
      </c>
      <c r="M313" s="351" t="s">
        <v>4372</v>
      </c>
      <c r="N313" s="352" t="s">
        <v>912</v>
      </c>
      <c r="O313" s="370" t="s">
        <v>913</v>
      </c>
      <c r="P313" t="s">
        <v>242</v>
      </c>
    </row>
    <row r="314" spans="12:16" ht="15.9" x14ac:dyDescent="0.45">
      <c r="L314" s="350">
        <v>179021</v>
      </c>
      <c r="M314" s="351" t="s">
        <v>4373</v>
      </c>
      <c r="N314" s="352" t="s">
        <v>914</v>
      </c>
      <c r="O314" s="370" t="s">
        <v>915</v>
      </c>
      <c r="P314" t="s">
        <v>242</v>
      </c>
    </row>
    <row r="315" spans="12:16" ht="15.9" x14ac:dyDescent="0.45">
      <c r="L315" s="350">
        <v>179022</v>
      </c>
      <c r="M315" s="351" t="s">
        <v>4374</v>
      </c>
      <c r="N315" s="352" t="s">
        <v>916</v>
      </c>
      <c r="O315" s="352" t="s">
        <v>917</v>
      </c>
      <c r="P315" t="s">
        <v>242</v>
      </c>
    </row>
    <row r="316" spans="12:16" ht="15.9" x14ac:dyDescent="0.45">
      <c r="L316" s="350">
        <v>179023</v>
      </c>
      <c r="M316" s="351" t="s">
        <v>4375</v>
      </c>
      <c r="N316" s="352" t="s">
        <v>918</v>
      </c>
      <c r="O316" s="352" t="s">
        <v>919</v>
      </c>
      <c r="P316" t="s">
        <v>242</v>
      </c>
    </row>
    <row r="317" spans="12:16" ht="15.9" x14ac:dyDescent="0.45">
      <c r="L317" s="350">
        <v>179024</v>
      </c>
      <c r="M317" s="351" t="s">
        <v>4377</v>
      </c>
      <c r="N317" s="352" t="s">
        <v>920</v>
      </c>
      <c r="O317" s="370" t="s">
        <v>921</v>
      </c>
      <c r="P317" t="s">
        <v>242</v>
      </c>
    </row>
    <row r="318" spans="12:16" ht="15.9" x14ac:dyDescent="0.45">
      <c r="L318" s="350">
        <v>179025</v>
      </c>
      <c r="M318" s="351" t="s">
        <v>4378</v>
      </c>
      <c r="N318" s="352" t="s">
        <v>922</v>
      </c>
      <c r="O318" s="352" t="s">
        <v>923</v>
      </c>
      <c r="P318" t="s">
        <v>242</v>
      </c>
    </row>
    <row r="319" spans="12:16" ht="15.9" x14ac:dyDescent="0.45">
      <c r="L319" s="350">
        <v>179026</v>
      </c>
      <c r="M319" s="351" t="s">
        <v>4380</v>
      </c>
      <c r="N319" s="352" t="s">
        <v>925</v>
      </c>
      <c r="O319" s="370" t="s">
        <v>926</v>
      </c>
      <c r="P319" t="s">
        <v>242</v>
      </c>
    </row>
    <row r="320" spans="12:16" ht="15.9" x14ac:dyDescent="0.45">
      <c r="L320" s="350">
        <v>179027</v>
      </c>
      <c r="M320" s="351" t="s">
        <v>4382</v>
      </c>
      <c r="N320" s="352" t="s">
        <v>927</v>
      </c>
      <c r="O320" s="352" t="s">
        <v>928</v>
      </c>
      <c r="P320" t="s">
        <v>242</v>
      </c>
    </row>
    <row r="321" spans="12:16" ht="15.9" x14ac:dyDescent="0.45">
      <c r="L321" s="350">
        <v>179028</v>
      </c>
      <c r="M321" s="351" t="s">
        <v>4383</v>
      </c>
      <c r="N321" s="352" t="s">
        <v>929</v>
      </c>
      <c r="O321" s="352" t="s">
        <v>930</v>
      </c>
      <c r="P321" t="s">
        <v>242</v>
      </c>
    </row>
    <row r="322" spans="12:16" ht="15.9" x14ac:dyDescent="0.45">
      <c r="L322" s="350">
        <v>179029</v>
      </c>
      <c r="M322" s="351" t="s">
        <v>4384</v>
      </c>
      <c r="N322" s="352" t="s">
        <v>931</v>
      </c>
      <c r="O322" s="352" t="s">
        <v>932</v>
      </c>
      <c r="P322" t="s">
        <v>242</v>
      </c>
    </row>
    <row r="323" spans="12:16" ht="15.9" x14ac:dyDescent="0.45">
      <c r="L323" s="350">
        <v>179050</v>
      </c>
      <c r="M323" s="351" t="s">
        <v>4385</v>
      </c>
      <c r="N323" s="352" t="s">
        <v>934</v>
      </c>
      <c r="O323" s="352" t="s">
        <v>935</v>
      </c>
      <c r="P323" t="s">
        <v>242</v>
      </c>
    </row>
    <row r="324" spans="12:16" ht="15.9" x14ac:dyDescent="0.45">
      <c r="L324" s="350">
        <v>179219</v>
      </c>
      <c r="M324" s="351" t="s">
        <v>4386</v>
      </c>
      <c r="N324" s="352" t="s">
        <v>936</v>
      </c>
      <c r="O324" s="352" t="s">
        <v>937</v>
      </c>
      <c r="P324" t="s">
        <v>242</v>
      </c>
    </row>
    <row r="325" spans="12:16" ht="15.9" x14ac:dyDescent="0.45">
      <c r="L325" s="350">
        <v>179221</v>
      </c>
      <c r="M325" s="351" t="s">
        <v>4387</v>
      </c>
      <c r="N325" s="352" t="s">
        <v>938</v>
      </c>
      <c r="O325" s="352" t="s">
        <v>939</v>
      </c>
      <c r="P325" t="s">
        <v>242</v>
      </c>
    </row>
    <row r="326" spans="12:16" ht="15.9" x14ac:dyDescent="0.45">
      <c r="L326" s="350">
        <v>179371</v>
      </c>
      <c r="M326" s="351" t="s">
        <v>4388</v>
      </c>
      <c r="N326" s="352" t="s">
        <v>940</v>
      </c>
      <c r="O326" s="352" t="s">
        <v>941</v>
      </c>
      <c r="P326" t="s">
        <v>242</v>
      </c>
    </row>
    <row r="327" spans="12:16" ht="15.9" x14ac:dyDescent="0.45">
      <c r="L327" s="350">
        <v>179475</v>
      </c>
      <c r="M327" s="351" t="s">
        <v>4390</v>
      </c>
      <c r="N327" s="352" t="s">
        <v>942</v>
      </c>
      <c r="O327" s="352" t="s">
        <v>943</v>
      </c>
      <c r="P327" t="s">
        <v>242</v>
      </c>
    </row>
    <row r="328" spans="12:16" ht="15.9" x14ac:dyDescent="0.45">
      <c r="L328" s="350">
        <v>179476</v>
      </c>
      <c r="M328" s="351" t="s">
        <v>4391</v>
      </c>
      <c r="N328" s="352" t="s">
        <v>945</v>
      </c>
      <c r="O328" s="352" t="s">
        <v>946</v>
      </c>
      <c r="P328" t="s">
        <v>242</v>
      </c>
    </row>
    <row r="329" spans="12:16" ht="15.9" x14ac:dyDescent="0.45">
      <c r="L329" s="350">
        <v>179477</v>
      </c>
      <c r="M329" s="351" t="s">
        <v>2567</v>
      </c>
      <c r="N329" s="352" t="s">
        <v>4392</v>
      </c>
      <c r="O329" s="352" t="s">
        <v>947</v>
      </c>
      <c r="P329" t="s">
        <v>242</v>
      </c>
    </row>
    <row r="330" spans="12:16" ht="15.9" x14ac:dyDescent="0.45">
      <c r="L330" s="350">
        <v>179481</v>
      </c>
      <c r="M330" s="351" t="s">
        <v>4394</v>
      </c>
      <c r="N330" s="352" t="s">
        <v>948</v>
      </c>
      <c r="O330" s="352" t="s">
        <v>949</v>
      </c>
      <c r="P330" t="s">
        <v>242</v>
      </c>
    </row>
    <row r="331" spans="12:16" ht="15.9" x14ac:dyDescent="0.45">
      <c r="L331" s="350">
        <v>179511</v>
      </c>
      <c r="M331" s="351" t="s">
        <v>4396</v>
      </c>
      <c r="N331" s="352" t="s">
        <v>950</v>
      </c>
      <c r="O331" s="352" t="s">
        <v>951</v>
      </c>
      <c r="P331" t="s">
        <v>242</v>
      </c>
    </row>
    <row r="332" spans="12:16" ht="15.9" x14ac:dyDescent="0.45">
      <c r="L332" s="350">
        <v>179530</v>
      </c>
      <c r="M332" s="351" t="s">
        <v>2574</v>
      </c>
      <c r="N332" s="352" t="s">
        <v>4397</v>
      </c>
      <c r="O332" s="352" t="s">
        <v>383</v>
      </c>
      <c r="P332" t="s">
        <v>242</v>
      </c>
    </row>
    <row r="333" spans="12:16" ht="15.9" x14ac:dyDescent="0.45">
      <c r="L333" s="350">
        <v>179621</v>
      </c>
      <c r="M333" s="351" t="s">
        <v>4399</v>
      </c>
      <c r="N333" s="352" t="s">
        <v>952</v>
      </c>
      <c r="O333" s="352" t="s">
        <v>953</v>
      </c>
      <c r="P333" t="s">
        <v>242</v>
      </c>
    </row>
    <row r="334" spans="12:16" ht="15.9" x14ac:dyDescent="0.45">
      <c r="L334" s="350">
        <v>179723</v>
      </c>
      <c r="M334" s="351" t="s">
        <v>4401</v>
      </c>
      <c r="N334" s="352" t="s">
        <v>954</v>
      </c>
      <c r="O334" s="352" t="s">
        <v>955</v>
      </c>
      <c r="P334" t="s">
        <v>242</v>
      </c>
    </row>
    <row r="335" spans="12:16" ht="15.9" x14ac:dyDescent="0.45">
      <c r="L335" s="350">
        <v>179724</v>
      </c>
      <c r="M335" s="351" t="s">
        <v>4403</v>
      </c>
      <c r="N335" s="352" t="s">
        <v>956</v>
      </c>
      <c r="O335" s="352" t="s">
        <v>957</v>
      </c>
      <c r="P335" t="s">
        <v>242</v>
      </c>
    </row>
    <row r="336" spans="12:16" ht="15.9" x14ac:dyDescent="0.45">
      <c r="L336" s="350">
        <v>179821</v>
      </c>
      <c r="M336" s="351" t="s">
        <v>4405</v>
      </c>
      <c r="N336" s="352" t="s">
        <v>958</v>
      </c>
      <c r="O336" s="352" t="s">
        <v>959</v>
      </c>
      <c r="P336" t="s">
        <v>242</v>
      </c>
    </row>
    <row r="337" spans="12:16" ht="15.9" x14ac:dyDescent="0.45">
      <c r="L337" s="350">
        <v>179921</v>
      </c>
      <c r="M337" s="351" t="s">
        <v>4407</v>
      </c>
      <c r="N337" s="352" t="s">
        <v>3713</v>
      </c>
      <c r="O337" s="352" t="s">
        <v>960</v>
      </c>
      <c r="P337" t="s">
        <v>242</v>
      </c>
    </row>
    <row r="338" spans="12:16" ht="15.9" x14ac:dyDescent="0.45">
      <c r="L338" s="350">
        <v>179922</v>
      </c>
      <c r="M338" s="351" t="s">
        <v>4408</v>
      </c>
      <c r="N338" s="352" t="s">
        <v>3714</v>
      </c>
      <c r="O338" s="352" t="s">
        <v>961</v>
      </c>
      <c r="P338" t="s">
        <v>242</v>
      </c>
    </row>
    <row r="339" spans="12:16" ht="15.9" x14ac:dyDescent="0.45">
      <c r="L339" s="350">
        <v>179923</v>
      </c>
      <c r="M339" s="351" t="s">
        <v>4409</v>
      </c>
      <c r="N339" s="352" t="s">
        <v>3715</v>
      </c>
      <c r="O339" s="352" t="s">
        <v>963</v>
      </c>
      <c r="P339" t="s">
        <v>242</v>
      </c>
    </row>
    <row r="340" spans="12:16" ht="15.9" x14ac:dyDescent="0.45">
      <c r="L340" s="350">
        <v>211111</v>
      </c>
      <c r="M340" s="351" t="s">
        <v>4411</v>
      </c>
      <c r="N340" s="352" t="s">
        <v>5401</v>
      </c>
      <c r="O340" s="352" t="s">
        <v>3716</v>
      </c>
      <c r="P340" t="s">
        <v>242</v>
      </c>
    </row>
    <row r="341" spans="12:16" ht="15.9" x14ac:dyDescent="0.45">
      <c r="L341" s="350">
        <v>211116</v>
      </c>
      <c r="M341" s="351" t="s">
        <v>4412</v>
      </c>
      <c r="N341" s="352" t="s">
        <v>964</v>
      </c>
      <c r="O341" s="352" t="s">
        <v>965</v>
      </c>
      <c r="P341" t="s">
        <v>242</v>
      </c>
    </row>
    <row r="342" spans="12:16" ht="15.9" x14ac:dyDescent="0.45">
      <c r="L342" s="350">
        <v>211147</v>
      </c>
      <c r="M342" s="351" t="s">
        <v>4413</v>
      </c>
      <c r="N342" s="352" t="s">
        <v>966</v>
      </c>
      <c r="O342" s="352" t="s">
        <v>967</v>
      </c>
      <c r="P342" t="s">
        <v>242</v>
      </c>
    </row>
    <row r="343" spans="12:16" ht="15.9" x14ac:dyDescent="0.45">
      <c r="L343" s="350">
        <v>211150</v>
      </c>
      <c r="M343" s="351" t="s">
        <v>4414</v>
      </c>
      <c r="N343" s="352" t="s">
        <v>4415</v>
      </c>
      <c r="O343" s="352" t="s">
        <v>383</v>
      </c>
      <c r="P343" t="s">
        <v>242</v>
      </c>
    </row>
    <row r="344" spans="12:16" ht="15.9" x14ac:dyDescent="0.45">
      <c r="L344" s="350">
        <v>211152</v>
      </c>
      <c r="M344" s="351" t="s">
        <v>4416</v>
      </c>
      <c r="N344" s="352" t="s">
        <v>968</v>
      </c>
      <c r="O344" s="352" t="s">
        <v>969</v>
      </c>
      <c r="P344" t="s">
        <v>242</v>
      </c>
    </row>
    <row r="345" spans="12:16" ht="15.9" x14ac:dyDescent="0.45">
      <c r="L345" s="350">
        <v>211153</v>
      </c>
      <c r="M345" s="351" t="s">
        <v>4417</v>
      </c>
      <c r="N345" s="352" t="s">
        <v>970</v>
      </c>
      <c r="O345" s="352" t="s">
        <v>971</v>
      </c>
      <c r="P345" t="s">
        <v>242</v>
      </c>
    </row>
    <row r="346" spans="12:16" ht="15.9" x14ac:dyDescent="0.45">
      <c r="L346" s="350">
        <v>211154</v>
      </c>
      <c r="M346" s="351" t="s">
        <v>4418</v>
      </c>
      <c r="N346" s="352" t="s">
        <v>972</v>
      </c>
      <c r="O346" s="352" t="s">
        <v>973</v>
      </c>
      <c r="P346" t="s">
        <v>242</v>
      </c>
    </row>
    <row r="347" spans="12:16" ht="15.9" x14ac:dyDescent="0.45">
      <c r="L347" s="350">
        <v>211157</v>
      </c>
      <c r="M347" s="351" t="s">
        <v>4420</v>
      </c>
      <c r="N347" s="352" t="s">
        <v>974</v>
      </c>
      <c r="O347" s="352" t="s">
        <v>975</v>
      </c>
      <c r="P347" t="s">
        <v>242</v>
      </c>
    </row>
    <row r="348" spans="12:16" ht="15.9" x14ac:dyDescent="0.45">
      <c r="L348" s="350">
        <v>211159</v>
      </c>
      <c r="M348" s="351" t="s">
        <v>4422</v>
      </c>
      <c r="N348" s="352" t="s">
        <v>4423</v>
      </c>
      <c r="O348" s="352" t="s">
        <v>3718</v>
      </c>
      <c r="P348" t="s">
        <v>242</v>
      </c>
    </row>
    <row r="349" spans="12:16" ht="15.9" x14ac:dyDescent="0.45">
      <c r="L349" s="350">
        <v>211161</v>
      </c>
      <c r="M349" s="351" t="s">
        <v>4424</v>
      </c>
      <c r="N349" s="352" t="s">
        <v>976</v>
      </c>
      <c r="O349" s="352" t="s">
        <v>977</v>
      </c>
      <c r="P349" t="s">
        <v>242</v>
      </c>
    </row>
    <row r="350" spans="12:16" ht="15.9" x14ac:dyDescent="0.45">
      <c r="L350" s="350">
        <v>211172</v>
      </c>
      <c r="M350" s="351" t="s">
        <v>4425</v>
      </c>
      <c r="N350" s="352" t="s">
        <v>4426</v>
      </c>
      <c r="O350" s="352" t="s">
        <v>383</v>
      </c>
      <c r="P350" t="s">
        <v>242</v>
      </c>
    </row>
    <row r="351" spans="12:16" ht="15.9" x14ac:dyDescent="0.45">
      <c r="L351" s="350">
        <v>211179</v>
      </c>
      <c r="M351" s="351" t="s">
        <v>4427</v>
      </c>
      <c r="N351" s="352" t="s">
        <v>978</v>
      </c>
      <c r="O351" s="352" t="s">
        <v>979</v>
      </c>
      <c r="P351" t="s">
        <v>242</v>
      </c>
    </row>
    <row r="352" spans="12:16" ht="15.9" x14ac:dyDescent="0.45">
      <c r="L352" s="350">
        <v>211183</v>
      </c>
      <c r="M352" s="351" t="s">
        <v>4428</v>
      </c>
      <c r="N352" s="352" t="s">
        <v>3720</v>
      </c>
      <c r="O352" s="352" t="s">
        <v>3719</v>
      </c>
      <c r="P352" t="s">
        <v>242</v>
      </c>
    </row>
    <row r="353" spans="12:16" ht="15.9" x14ac:dyDescent="0.45">
      <c r="L353" s="350">
        <v>211193</v>
      </c>
      <c r="M353" s="351" t="s">
        <v>4429</v>
      </c>
      <c r="N353" s="352" t="s">
        <v>4430</v>
      </c>
      <c r="O353" s="352" t="s">
        <v>3721</v>
      </c>
      <c r="P353" t="s">
        <v>242</v>
      </c>
    </row>
    <row r="354" spans="12:16" ht="15.9" x14ac:dyDescent="0.45">
      <c r="L354" s="350">
        <v>211251</v>
      </c>
      <c r="M354" s="351" t="s">
        <v>4431</v>
      </c>
      <c r="N354" s="352" t="s">
        <v>980</v>
      </c>
      <c r="O354" s="352" t="s">
        <v>981</v>
      </c>
      <c r="P354" t="s">
        <v>242</v>
      </c>
    </row>
    <row r="355" spans="12:16" ht="15.9" x14ac:dyDescent="0.45">
      <c r="L355" s="350">
        <v>211252</v>
      </c>
      <c r="M355" s="351" t="s">
        <v>4432</v>
      </c>
      <c r="N355" s="352" t="s">
        <v>982</v>
      </c>
      <c r="O355" s="352" t="s">
        <v>983</v>
      </c>
      <c r="P355" t="s">
        <v>242</v>
      </c>
    </row>
    <row r="356" spans="12:16" ht="15.9" x14ac:dyDescent="0.45">
      <c r="L356" s="350">
        <v>211253</v>
      </c>
      <c r="M356" s="351" t="s">
        <v>4433</v>
      </c>
      <c r="N356" s="352" t="s">
        <v>984</v>
      </c>
      <c r="O356" s="352" t="s">
        <v>985</v>
      </c>
      <c r="P356" t="s">
        <v>242</v>
      </c>
    </row>
    <row r="357" spans="12:16" ht="15.9" x14ac:dyDescent="0.45">
      <c r="L357" s="350">
        <v>211254</v>
      </c>
      <c r="M357" s="351" t="s">
        <v>4434</v>
      </c>
      <c r="N357" s="352" t="s">
        <v>986</v>
      </c>
      <c r="O357" s="352" t="s">
        <v>987</v>
      </c>
      <c r="P357" t="s">
        <v>242</v>
      </c>
    </row>
    <row r="358" spans="12:16" ht="15.9" x14ac:dyDescent="0.45">
      <c r="L358" s="350">
        <v>211256</v>
      </c>
      <c r="M358" s="351" t="s">
        <v>4435</v>
      </c>
      <c r="N358" s="352" t="s">
        <v>988</v>
      </c>
      <c r="O358" s="352" t="s">
        <v>989</v>
      </c>
      <c r="P358" t="s">
        <v>242</v>
      </c>
    </row>
    <row r="359" spans="12:16" ht="15.9" x14ac:dyDescent="0.45">
      <c r="L359" s="350">
        <v>211271</v>
      </c>
      <c r="M359" s="351" t="s">
        <v>4436</v>
      </c>
      <c r="N359" s="352" t="s">
        <v>990</v>
      </c>
      <c r="O359" s="352" t="s">
        <v>991</v>
      </c>
      <c r="P359" t="s">
        <v>242</v>
      </c>
    </row>
    <row r="360" spans="12:16" ht="15.9" x14ac:dyDescent="0.45">
      <c r="L360" s="350">
        <v>211601</v>
      </c>
      <c r="M360" s="351" t="s">
        <v>4437</v>
      </c>
      <c r="N360" s="352" t="s">
        <v>992</v>
      </c>
      <c r="O360" s="352" t="s">
        <v>993</v>
      </c>
      <c r="P360" t="s">
        <v>242</v>
      </c>
    </row>
    <row r="361" spans="12:16" ht="15.9" x14ac:dyDescent="0.45">
      <c r="L361" s="350">
        <v>212212</v>
      </c>
      <c r="M361" s="351" t="s">
        <v>4438</v>
      </c>
      <c r="N361" s="352" t="s">
        <v>994</v>
      </c>
      <c r="O361" s="352" t="s">
        <v>995</v>
      </c>
      <c r="P361" t="s">
        <v>242</v>
      </c>
    </row>
    <row r="362" spans="12:16" ht="15.9" x14ac:dyDescent="0.45">
      <c r="L362" s="350">
        <v>212213</v>
      </c>
      <c r="M362" s="351" t="s">
        <v>4439</v>
      </c>
      <c r="N362" s="352" t="s">
        <v>4440</v>
      </c>
      <c r="O362" s="352" t="s">
        <v>996</v>
      </c>
      <c r="P362" t="s">
        <v>242</v>
      </c>
    </row>
    <row r="363" spans="12:16" ht="15.9" x14ac:dyDescent="0.45">
      <c r="L363" s="350">
        <v>212215</v>
      </c>
      <c r="M363" s="351" t="s">
        <v>4441</v>
      </c>
      <c r="N363" s="352" t="s">
        <v>997</v>
      </c>
      <c r="O363" s="352" t="s">
        <v>998</v>
      </c>
      <c r="P363" t="s">
        <v>242</v>
      </c>
    </row>
    <row r="364" spans="12:16" ht="15.9" x14ac:dyDescent="0.45">
      <c r="L364" s="350">
        <v>212216</v>
      </c>
      <c r="M364" s="351" t="s">
        <v>4442</v>
      </c>
      <c r="N364" s="352" t="s">
        <v>999</v>
      </c>
      <c r="O364" s="352" t="s">
        <v>1000</v>
      </c>
      <c r="P364" t="s">
        <v>242</v>
      </c>
    </row>
    <row r="365" spans="12:16" ht="15.9" x14ac:dyDescent="0.45">
      <c r="L365" s="350">
        <v>212217</v>
      </c>
      <c r="M365" s="351" t="s">
        <v>4443</v>
      </c>
      <c r="N365" s="352" t="s">
        <v>1001</v>
      </c>
      <c r="O365" s="352" t="s">
        <v>1002</v>
      </c>
      <c r="P365" t="s">
        <v>242</v>
      </c>
    </row>
    <row r="366" spans="12:16" ht="15.9" x14ac:dyDescent="0.45">
      <c r="L366" s="350">
        <v>212219</v>
      </c>
      <c r="M366" s="351" t="s">
        <v>4444</v>
      </c>
      <c r="N366" s="352" t="s">
        <v>4445</v>
      </c>
      <c r="O366" s="352" t="s">
        <v>1003</v>
      </c>
      <c r="P366" t="s">
        <v>242</v>
      </c>
    </row>
    <row r="367" spans="12:16" ht="15.9" x14ac:dyDescent="0.45">
      <c r="L367" s="350">
        <v>212220</v>
      </c>
      <c r="M367" s="351" t="s">
        <v>4446</v>
      </c>
      <c r="N367" s="352" t="s">
        <v>1004</v>
      </c>
      <c r="O367" s="352" t="s">
        <v>1005</v>
      </c>
      <c r="P367" t="s">
        <v>242</v>
      </c>
    </row>
    <row r="368" spans="12:16" ht="15.9" x14ac:dyDescent="0.45">
      <c r="L368" s="350">
        <v>212252</v>
      </c>
      <c r="M368" s="351" t="s">
        <v>4447</v>
      </c>
      <c r="N368" s="352" t="s">
        <v>1006</v>
      </c>
      <c r="O368" s="352" t="s">
        <v>1007</v>
      </c>
      <c r="P368" t="s">
        <v>242</v>
      </c>
    </row>
    <row r="369" spans="12:16" ht="15.9" x14ac:dyDescent="0.45">
      <c r="L369" s="350">
        <v>213332</v>
      </c>
      <c r="M369" s="351" t="s">
        <v>4448</v>
      </c>
      <c r="N369" s="352" t="s">
        <v>1008</v>
      </c>
      <c r="O369" s="352" t="s">
        <v>1009</v>
      </c>
      <c r="P369" t="s">
        <v>242</v>
      </c>
    </row>
    <row r="370" spans="12:16" ht="15.9" x14ac:dyDescent="0.45">
      <c r="L370" s="350">
        <v>213363</v>
      </c>
      <c r="M370" s="351" t="s">
        <v>4449</v>
      </c>
      <c r="N370" s="352" t="s">
        <v>3722</v>
      </c>
      <c r="O370" s="352" t="s">
        <v>1010</v>
      </c>
      <c r="P370" t="s">
        <v>242</v>
      </c>
    </row>
    <row r="371" spans="12:16" ht="15.9" x14ac:dyDescent="0.45">
      <c r="L371" s="350">
        <v>213436</v>
      </c>
      <c r="M371" s="351" t="s">
        <v>2639</v>
      </c>
      <c r="N371" s="352" t="s">
        <v>1011</v>
      </c>
      <c r="O371" s="352" t="s">
        <v>1012</v>
      </c>
      <c r="P371" t="s">
        <v>242</v>
      </c>
    </row>
    <row r="372" spans="12:16" ht="15.9" x14ac:dyDescent="0.45">
      <c r="L372" s="350">
        <v>213499</v>
      </c>
      <c r="M372" s="351" t="s">
        <v>2641</v>
      </c>
      <c r="N372" s="352" t="s">
        <v>1013</v>
      </c>
      <c r="O372" s="352" t="s">
        <v>1014</v>
      </c>
      <c r="P372" t="s">
        <v>242</v>
      </c>
    </row>
    <row r="373" spans="12:16" ht="15.9" x14ac:dyDescent="0.45">
      <c r="L373" s="350">
        <v>213700</v>
      </c>
      <c r="M373" s="351" t="s">
        <v>4450</v>
      </c>
      <c r="N373" s="352" t="s">
        <v>4451</v>
      </c>
      <c r="O373" s="352" t="s">
        <v>383</v>
      </c>
      <c r="P373" t="s">
        <v>242</v>
      </c>
    </row>
    <row r="374" spans="12:16" ht="15.9" x14ac:dyDescent="0.45">
      <c r="L374" s="350">
        <v>214070</v>
      </c>
      <c r="M374" s="351" t="s">
        <v>4452</v>
      </c>
      <c r="N374" s="352" t="s">
        <v>4453</v>
      </c>
      <c r="O374" s="352" t="s">
        <v>383</v>
      </c>
      <c r="P374" t="s">
        <v>242</v>
      </c>
    </row>
    <row r="375" spans="12:16" ht="15.9" x14ac:dyDescent="0.45">
      <c r="L375" s="350">
        <v>214090</v>
      </c>
      <c r="M375" s="351" t="s">
        <v>4454</v>
      </c>
      <c r="N375" s="352" t="s">
        <v>4455</v>
      </c>
      <c r="O375" s="352" t="s">
        <v>383</v>
      </c>
      <c r="P375" t="s">
        <v>242</v>
      </c>
    </row>
    <row r="376" spans="12:16" ht="15.9" x14ac:dyDescent="0.45">
      <c r="L376" s="350">
        <v>214400</v>
      </c>
      <c r="M376" s="351" t="s">
        <v>4456</v>
      </c>
      <c r="N376" s="352" t="s">
        <v>4457</v>
      </c>
      <c r="O376" s="352" t="s">
        <v>383</v>
      </c>
      <c r="P376" t="s">
        <v>242</v>
      </c>
    </row>
    <row r="377" spans="12:16" ht="15.9" x14ac:dyDescent="0.45">
      <c r="L377" s="350">
        <v>214410</v>
      </c>
      <c r="M377" s="351" t="s">
        <v>3846</v>
      </c>
      <c r="N377" s="352" t="s">
        <v>4458</v>
      </c>
      <c r="O377" s="352" t="s">
        <v>383</v>
      </c>
      <c r="P377" t="s">
        <v>242</v>
      </c>
    </row>
    <row r="378" spans="12:16" ht="15.9" x14ac:dyDescent="0.45">
      <c r="L378" s="350">
        <v>214422</v>
      </c>
      <c r="M378" s="351" t="s">
        <v>4459</v>
      </c>
      <c r="N378" s="352" t="s">
        <v>4460</v>
      </c>
      <c r="O378" s="352" t="s">
        <v>1015</v>
      </c>
      <c r="P378" t="s">
        <v>242</v>
      </c>
    </row>
    <row r="379" spans="12:16" ht="15.9" x14ac:dyDescent="0.45">
      <c r="L379" s="350">
        <v>214425</v>
      </c>
      <c r="M379" s="351" t="s">
        <v>2648</v>
      </c>
      <c r="N379" s="352" t="s">
        <v>1016</v>
      </c>
      <c r="O379" s="352" t="s">
        <v>1017</v>
      </c>
      <c r="P379" t="s">
        <v>242</v>
      </c>
    </row>
    <row r="380" spans="12:16" ht="15.9" x14ac:dyDescent="0.45">
      <c r="L380" s="350">
        <v>214426</v>
      </c>
      <c r="M380" s="351" t="s">
        <v>4461</v>
      </c>
      <c r="N380" s="352" t="s">
        <v>4463</v>
      </c>
      <c r="O380" s="352" t="s">
        <v>1018</v>
      </c>
      <c r="P380" t="s">
        <v>242</v>
      </c>
    </row>
    <row r="381" spans="12:16" ht="15.9" x14ac:dyDescent="0.45">
      <c r="L381" s="350">
        <v>214428</v>
      </c>
      <c r="M381" s="351" t="s">
        <v>4464</v>
      </c>
      <c r="N381" s="352" t="s">
        <v>3723</v>
      </c>
      <c r="O381" s="352" t="s">
        <v>1019</v>
      </c>
      <c r="P381" t="s">
        <v>242</v>
      </c>
    </row>
    <row r="382" spans="12:16" ht="15.9" x14ac:dyDescent="0.45">
      <c r="L382" s="350">
        <v>214429</v>
      </c>
      <c r="M382" s="351" t="s">
        <v>4466</v>
      </c>
      <c r="N382" s="352" t="s">
        <v>1020</v>
      </c>
      <c r="O382" s="352" t="s">
        <v>1021</v>
      </c>
      <c r="P382" t="s">
        <v>242</v>
      </c>
    </row>
    <row r="383" spans="12:16" ht="15.9" x14ac:dyDescent="0.45">
      <c r="L383" s="350">
        <v>214467</v>
      </c>
      <c r="M383" s="351" t="s">
        <v>4467</v>
      </c>
      <c r="N383" s="352" t="s">
        <v>1022</v>
      </c>
      <c r="O383" s="352" t="s">
        <v>1023</v>
      </c>
      <c r="P383" t="s">
        <v>242</v>
      </c>
    </row>
    <row r="384" spans="12:16" ht="15.9" x14ac:dyDescent="0.45">
      <c r="L384" s="350">
        <v>214469</v>
      </c>
      <c r="M384" s="351" t="s">
        <v>4468</v>
      </c>
      <c r="N384" s="352" t="s">
        <v>1024</v>
      </c>
      <c r="O384" s="352" t="s">
        <v>1025</v>
      </c>
      <c r="P384" t="s">
        <v>242</v>
      </c>
    </row>
    <row r="385" spans="12:16" ht="15.9" x14ac:dyDescent="0.45">
      <c r="L385" s="350">
        <v>215552</v>
      </c>
      <c r="M385" s="351" t="s">
        <v>4469</v>
      </c>
      <c r="N385" s="352" t="s">
        <v>1026</v>
      </c>
      <c r="O385" s="352" t="s">
        <v>1027</v>
      </c>
      <c r="P385" t="s">
        <v>242</v>
      </c>
    </row>
    <row r="386" spans="12:16" ht="15.9" x14ac:dyDescent="0.45">
      <c r="L386" s="350">
        <v>215553</v>
      </c>
      <c r="M386" s="351" t="s">
        <v>4470</v>
      </c>
      <c r="N386" s="352" t="s">
        <v>1028</v>
      </c>
      <c r="O386" s="352" t="s">
        <v>1029</v>
      </c>
      <c r="P386" t="s">
        <v>242</v>
      </c>
    </row>
    <row r="387" spans="12:16" ht="15.9" x14ac:dyDescent="0.45">
      <c r="L387" s="350">
        <v>215554</v>
      </c>
      <c r="M387" s="351" t="s">
        <v>4471</v>
      </c>
      <c r="N387" s="352" t="s">
        <v>1030</v>
      </c>
      <c r="O387" s="352" t="s">
        <v>1031</v>
      </c>
      <c r="P387" t="s">
        <v>242</v>
      </c>
    </row>
    <row r="388" spans="12:16" ht="15.9" x14ac:dyDescent="0.45">
      <c r="L388" s="350">
        <v>215555</v>
      </c>
      <c r="M388" s="351" t="s">
        <v>4472</v>
      </c>
      <c r="N388" s="352" t="s">
        <v>1032</v>
      </c>
      <c r="O388" s="352" t="s">
        <v>1033</v>
      </c>
      <c r="P388" t="s">
        <v>242</v>
      </c>
    </row>
    <row r="389" spans="12:16" ht="15.9" x14ac:dyDescent="0.45">
      <c r="L389" s="350">
        <v>215582</v>
      </c>
      <c r="M389" s="351" t="s">
        <v>4473</v>
      </c>
      <c r="N389" s="352" t="s">
        <v>4474</v>
      </c>
      <c r="O389" s="352" t="s">
        <v>1034</v>
      </c>
      <c r="P389" t="s">
        <v>242</v>
      </c>
    </row>
    <row r="390" spans="12:16" ht="15.9" x14ac:dyDescent="0.45">
      <c r="L390" s="350">
        <v>216642</v>
      </c>
      <c r="M390" s="351" t="s">
        <v>4475</v>
      </c>
      <c r="N390" s="352" t="s">
        <v>5402</v>
      </c>
      <c r="O390" s="352" t="s">
        <v>3724</v>
      </c>
      <c r="P390" t="s">
        <v>242</v>
      </c>
    </row>
    <row r="391" spans="12:16" ht="15.9" x14ac:dyDescent="0.45">
      <c r="L391" s="350">
        <v>217200</v>
      </c>
      <c r="M391" s="351" t="s">
        <v>4477</v>
      </c>
      <c r="N391" s="352" t="s">
        <v>4478</v>
      </c>
      <c r="O391" s="352" t="s">
        <v>383</v>
      </c>
      <c r="P391" t="s">
        <v>242</v>
      </c>
    </row>
    <row r="392" spans="12:16" ht="15.9" x14ac:dyDescent="0.45">
      <c r="L392" s="350">
        <v>217712</v>
      </c>
      <c r="M392" s="351" t="s">
        <v>4479</v>
      </c>
      <c r="N392" s="352" t="s">
        <v>3727</v>
      </c>
      <c r="O392" s="352" t="s">
        <v>3726</v>
      </c>
      <c r="P392" t="s">
        <v>242</v>
      </c>
    </row>
    <row r="393" spans="12:16" ht="15.9" x14ac:dyDescent="0.45">
      <c r="L393" s="350">
        <v>217713</v>
      </c>
      <c r="M393" s="351" t="s">
        <v>4480</v>
      </c>
      <c r="N393" s="352" t="s">
        <v>1035</v>
      </c>
      <c r="O393" s="352" t="s">
        <v>1036</v>
      </c>
      <c r="P393" t="s">
        <v>242</v>
      </c>
    </row>
    <row r="394" spans="12:16" ht="15.9" x14ac:dyDescent="0.45">
      <c r="L394" s="350">
        <v>217722</v>
      </c>
      <c r="M394" s="351" t="s">
        <v>4481</v>
      </c>
      <c r="N394" s="352" t="s">
        <v>1037</v>
      </c>
      <c r="O394" s="352" t="s">
        <v>1038</v>
      </c>
      <c r="P394" t="s">
        <v>242</v>
      </c>
    </row>
    <row r="395" spans="12:16" ht="15.9" x14ac:dyDescent="0.45">
      <c r="L395" s="350">
        <v>217735</v>
      </c>
      <c r="M395" s="351" t="s">
        <v>4482</v>
      </c>
      <c r="N395" s="352" t="s">
        <v>1039</v>
      </c>
      <c r="O395" s="352" t="s">
        <v>1040</v>
      </c>
      <c r="P395" t="s">
        <v>242</v>
      </c>
    </row>
    <row r="396" spans="12:16" ht="15.9" x14ac:dyDescent="0.45">
      <c r="L396" s="350">
        <v>217736</v>
      </c>
      <c r="M396" s="351" t="s">
        <v>4483</v>
      </c>
      <c r="N396" s="352" t="s">
        <v>1041</v>
      </c>
      <c r="O396" s="352" t="s">
        <v>1042</v>
      </c>
      <c r="P396" t="s">
        <v>242</v>
      </c>
    </row>
    <row r="397" spans="12:16" ht="15.9" x14ac:dyDescent="0.45">
      <c r="L397" s="350">
        <v>217742</v>
      </c>
      <c r="M397" s="351" t="s">
        <v>4484</v>
      </c>
      <c r="N397" s="352" t="s">
        <v>1043</v>
      </c>
      <c r="O397" s="352" t="s">
        <v>1044</v>
      </c>
      <c r="P397" t="s">
        <v>242</v>
      </c>
    </row>
    <row r="398" spans="12:16" ht="15.9" x14ac:dyDescent="0.45">
      <c r="L398" s="350">
        <v>217752</v>
      </c>
      <c r="M398" s="351" t="s">
        <v>4485</v>
      </c>
      <c r="N398" s="352" t="s">
        <v>1045</v>
      </c>
      <c r="O398" s="352" t="s">
        <v>1046</v>
      </c>
      <c r="P398" t="s">
        <v>242</v>
      </c>
    </row>
    <row r="399" spans="12:16" ht="15.9" x14ac:dyDescent="0.45">
      <c r="L399" s="350">
        <v>217762</v>
      </c>
      <c r="M399" s="351" t="s">
        <v>4486</v>
      </c>
      <c r="N399" s="352" t="s">
        <v>1047</v>
      </c>
      <c r="O399" s="352" t="s">
        <v>1048</v>
      </c>
      <c r="P399" t="s">
        <v>242</v>
      </c>
    </row>
    <row r="400" spans="12:16" ht="15.9" x14ac:dyDescent="0.45">
      <c r="L400" s="350">
        <v>217812</v>
      </c>
      <c r="M400" s="351" t="s">
        <v>4487</v>
      </c>
      <c r="N400" s="352" t="s">
        <v>1049</v>
      </c>
      <c r="O400" s="352" t="s">
        <v>1050</v>
      </c>
      <c r="P400" t="s">
        <v>242</v>
      </c>
    </row>
    <row r="401" spans="12:16" ht="15.9" x14ac:dyDescent="0.45">
      <c r="L401" s="350">
        <v>218122</v>
      </c>
      <c r="M401" s="351" t="s">
        <v>4488</v>
      </c>
      <c r="N401" s="352" t="s">
        <v>3728</v>
      </c>
      <c r="O401" s="352" t="s">
        <v>1051</v>
      </c>
      <c r="P401" t="s">
        <v>242</v>
      </c>
    </row>
    <row r="402" spans="12:16" ht="15.9" x14ac:dyDescent="0.45">
      <c r="L402" s="350">
        <v>218123</v>
      </c>
      <c r="M402" s="351" t="s">
        <v>4489</v>
      </c>
      <c r="N402" s="352" t="s">
        <v>1052</v>
      </c>
      <c r="O402" s="352" t="s">
        <v>383</v>
      </c>
      <c r="P402" t="s">
        <v>242</v>
      </c>
    </row>
    <row r="403" spans="12:16" ht="15.9" x14ac:dyDescent="0.45">
      <c r="L403" s="350">
        <v>218299</v>
      </c>
      <c r="M403" s="351" t="s">
        <v>4490</v>
      </c>
      <c r="N403" s="352" t="s">
        <v>1053</v>
      </c>
      <c r="O403" s="352" t="s">
        <v>1054</v>
      </c>
      <c r="P403" t="s">
        <v>242</v>
      </c>
    </row>
    <row r="404" spans="12:16" ht="15.9" x14ac:dyDescent="0.45">
      <c r="L404" s="350">
        <v>218610</v>
      </c>
      <c r="M404" s="351" t="s">
        <v>4491</v>
      </c>
      <c r="N404" s="352" t="s">
        <v>4492</v>
      </c>
      <c r="O404" s="352" t="s">
        <v>383</v>
      </c>
      <c r="P404" t="s">
        <v>242</v>
      </c>
    </row>
    <row r="405" spans="12:16" ht="15.9" x14ac:dyDescent="0.45">
      <c r="L405" s="350">
        <v>218712</v>
      </c>
      <c r="M405" s="351" t="s">
        <v>4493</v>
      </c>
      <c r="N405" s="352" t="s">
        <v>1055</v>
      </c>
      <c r="O405" s="352" t="s">
        <v>1056</v>
      </c>
      <c r="P405" t="s">
        <v>242</v>
      </c>
    </row>
    <row r="406" spans="12:16" ht="15.9" x14ac:dyDescent="0.45">
      <c r="L406" s="350">
        <v>218827</v>
      </c>
      <c r="M406" s="351" t="s">
        <v>4494</v>
      </c>
      <c r="N406" s="352" t="s">
        <v>1057</v>
      </c>
      <c r="O406" s="352" t="s">
        <v>1058</v>
      </c>
      <c r="P406" t="s">
        <v>242</v>
      </c>
    </row>
    <row r="407" spans="12:16" ht="15.9" x14ac:dyDescent="0.45">
      <c r="L407" s="350">
        <v>218842</v>
      </c>
      <c r="M407" s="351" t="s">
        <v>4495</v>
      </c>
      <c r="N407" s="352" t="s">
        <v>1059</v>
      </c>
      <c r="O407" s="352" t="s">
        <v>1060</v>
      </c>
      <c r="P407" t="s">
        <v>242</v>
      </c>
    </row>
    <row r="408" spans="12:16" ht="15.9" x14ac:dyDescent="0.45">
      <c r="L408" s="350">
        <v>218852</v>
      </c>
      <c r="M408" s="351" t="s">
        <v>4496</v>
      </c>
      <c r="N408" s="352" t="s">
        <v>4497</v>
      </c>
      <c r="O408" s="352" t="s">
        <v>1061</v>
      </c>
      <c r="P408" t="s">
        <v>242</v>
      </c>
    </row>
    <row r="409" spans="12:16" ht="15.9" x14ac:dyDescent="0.45">
      <c r="L409" s="350">
        <v>218868</v>
      </c>
      <c r="M409" s="351" t="s">
        <v>4498</v>
      </c>
      <c r="N409" s="352" t="s">
        <v>1062</v>
      </c>
      <c r="O409" s="352" t="s">
        <v>1063</v>
      </c>
      <c r="P409" t="s">
        <v>242</v>
      </c>
    </row>
    <row r="410" spans="12:16" ht="15.9" x14ac:dyDescent="0.45">
      <c r="L410" s="350">
        <v>219943</v>
      </c>
      <c r="M410" s="351" t="s">
        <v>4499</v>
      </c>
      <c r="N410" s="352" t="s">
        <v>1064</v>
      </c>
      <c r="O410" s="352" t="s">
        <v>1065</v>
      </c>
      <c r="P410" t="s">
        <v>242</v>
      </c>
    </row>
    <row r="411" spans="12:16" ht="15.9" x14ac:dyDescent="0.45">
      <c r="L411" s="350">
        <v>219944</v>
      </c>
      <c r="M411" s="351" t="s">
        <v>4500</v>
      </c>
      <c r="N411" s="352" t="s">
        <v>3729</v>
      </c>
      <c r="O411" s="352" t="s">
        <v>1066</v>
      </c>
      <c r="P411" t="s">
        <v>242</v>
      </c>
    </row>
    <row r="412" spans="12:16" ht="15.9" x14ac:dyDescent="0.45">
      <c r="L412" s="350">
        <v>219945</v>
      </c>
      <c r="M412" s="351" t="s">
        <v>4501</v>
      </c>
      <c r="N412" s="352" t="s">
        <v>1067</v>
      </c>
      <c r="O412" s="352" t="s">
        <v>1068</v>
      </c>
      <c r="P412" t="s">
        <v>242</v>
      </c>
    </row>
    <row r="413" spans="12:16" ht="15.9" x14ac:dyDescent="0.45">
      <c r="L413" s="350">
        <v>219946</v>
      </c>
      <c r="M413" s="351" t="s">
        <v>4502</v>
      </c>
      <c r="N413" s="352" t="s">
        <v>1069</v>
      </c>
      <c r="O413" s="352" t="s">
        <v>1070</v>
      </c>
      <c r="P413" t="s">
        <v>242</v>
      </c>
    </row>
    <row r="414" spans="12:16" ht="15.9" x14ac:dyDescent="0.45">
      <c r="L414" s="350">
        <v>219947</v>
      </c>
      <c r="M414" s="351" t="s">
        <v>4503</v>
      </c>
      <c r="N414" s="352" t="s">
        <v>1071</v>
      </c>
      <c r="O414" s="352" t="s">
        <v>1072</v>
      </c>
      <c r="P414" t="s">
        <v>242</v>
      </c>
    </row>
    <row r="415" spans="12:16" ht="15.9" x14ac:dyDescent="0.45">
      <c r="L415" s="350">
        <v>221221</v>
      </c>
      <c r="M415" s="351" t="s">
        <v>4504</v>
      </c>
      <c r="N415" s="352" t="s">
        <v>1073</v>
      </c>
      <c r="O415" s="352" t="s">
        <v>1074</v>
      </c>
      <c r="P415" t="s">
        <v>242</v>
      </c>
    </row>
    <row r="416" spans="12:16" ht="15.9" x14ac:dyDescent="0.45">
      <c r="L416" s="350">
        <v>221222</v>
      </c>
      <c r="M416" s="351" t="s">
        <v>4505</v>
      </c>
      <c r="N416" s="352" t="s">
        <v>1075</v>
      </c>
      <c r="O416" s="352" t="s">
        <v>1076</v>
      </c>
      <c r="P416" t="s">
        <v>242</v>
      </c>
    </row>
    <row r="417" spans="12:16" ht="15.9" x14ac:dyDescent="0.45">
      <c r="L417" s="350">
        <v>222222</v>
      </c>
      <c r="M417" s="351" t="s">
        <v>4506</v>
      </c>
      <c r="N417" s="352" t="s">
        <v>1077</v>
      </c>
      <c r="O417" s="352" t="s">
        <v>1078</v>
      </c>
      <c r="P417" t="s">
        <v>242</v>
      </c>
    </row>
    <row r="418" spans="12:16" ht="15.9" x14ac:dyDescent="0.45">
      <c r="L418" s="350">
        <v>226226</v>
      </c>
      <c r="M418" s="351" t="s">
        <v>4507</v>
      </c>
      <c r="N418" s="352" t="s">
        <v>1079</v>
      </c>
      <c r="O418" s="352" t="s">
        <v>1080</v>
      </c>
      <c r="P418" t="s">
        <v>242</v>
      </c>
    </row>
    <row r="419" spans="12:16" ht="15.9" x14ac:dyDescent="0.45">
      <c r="L419" s="350">
        <v>227227</v>
      </c>
      <c r="M419" s="351" t="s">
        <v>4508</v>
      </c>
      <c r="N419" s="352" t="s">
        <v>1081</v>
      </c>
      <c r="O419" s="352" t="s">
        <v>1082</v>
      </c>
      <c r="P419" t="s">
        <v>242</v>
      </c>
    </row>
    <row r="420" spans="12:16" ht="15.9" x14ac:dyDescent="0.45">
      <c r="L420" s="350">
        <v>227228</v>
      </c>
      <c r="M420" s="351" t="s">
        <v>4509</v>
      </c>
      <c r="N420" s="352" t="s">
        <v>1083</v>
      </c>
      <c r="O420" s="352" t="s">
        <v>1084</v>
      </c>
      <c r="P420" t="s">
        <v>242</v>
      </c>
    </row>
    <row r="421" spans="12:16" ht="15.9" x14ac:dyDescent="0.45">
      <c r="L421" s="350">
        <v>228228</v>
      </c>
      <c r="M421" s="351" t="s">
        <v>4510</v>
      </c>
      <c r="N421" s="352" t="s">
        <v>1085</v>
      </c>
      <c r="O421" s="352" t="s">
        <v>1086</v>
      </c>
      <c r="P421" t="s">
        <v>242</v>
      </c>
    </row>
    <row r="422" spans="12:16" ht="15.9" x14ac:dyDescent="0.45">
      <c r="L422" s="350">
        <v>229982</v>
      </c>
      <c r="M422" s="351" t="s">
        <v>4511</v>
      </c>
      <c r="N422" s="352" t="s">
        <v>1087</v>
      </c>
      <c r="O422" s="352" t="s">
        <v>1088</v>
      </c>
      <c r="P422" t="s">
        <v>242</v>
      </c>
    </row>
    <row r="423" spans="12:16" ht="15.9" x14ac:dyDescent="0.45">
      <c r="L423" s="350">
        <v>229984</v>
      </c>
      <c r="M423" s="351" t="s">
        <v>4512</v>
      </c>
      <c r="N423" s="352" t="s">
        <v>1089</v>
      </c>
      <c r="O423" s="352" t="s">
        <v>1090</v>
      </c>
      <c r="P423" t="s">
        <v>242</v>
      </c>
    </row>
    <row r="424" spans="12:16" ht="15.9" x14ac:dyDescent="0.45">
      <c r="L424" s="350">
        <v>229986</v>
      </c>
      <c r="M424" s="351" t="s">
        <v>4513</v>
      </c>
      <c r="N424" s="352" t="s">
        <v>1091</v>
      </c>
      <c r="O424" s="352" t="s">
        <v>1092</v>
      </c>
      <c r="P424" t="s">
        <v>242</v>
      </c>
    </row>
    <row r="425" spans="12:16" ht="15.9" x14ac:dyDescent="0.45">
      <c r="L425" s="350">
        <v>229987</v>
      </c>
      <c r="M425" s="351" t="s">
        <v>4514</v>
      </c>
      <c r="N425" s="352" t="s">
        <v>1093</v>
      </c>
      <c r="O425" s="352" t="s">
        <v>1094</v>
      </c>
      <c r="P425" t="s">
        <v>242</v>
      </c>
    </row>
    <row r="426" spans="12:16" ht="15.9" x14ac:dyDescent="0.45">
      <c r="L426" s="350">
        <v>310630</v>
      </c>
      <c r="M426" s="351" t="s">
        <v>4515</v>
      </c>
      <c r="N426" s="352" t="s">
        <v>4516</v>
      </c>
      <c r="O426" s="352" t="s">
        <v>383</v>
      </c>
      <c r="P426" t="s">
        <v>242</v>
      </c>
    </row>
    <row r="427" spans="12:16" ht="15.9" x14ac:dyDescent="0.45">
      <c r="L427" s="350">
        <v>310911</v>
      </c>
      <c r="M427" s="351" t="s">
        <v>4517</v>
      </c>
      <c r="N427" s="352" t="s">
        <v>1095</v>
      </c>
      <c r="O427" s="352" t="s">
        <v>1096</v>
      </c>
      <c r="P427" t="s">
        <v>242</v>
      </c>
    </row>
    <row r="428" spans="12:16" ht="15.9" x14ac:dyDescent="0.45">
      <c r="L428" s="350">
        <v>310912</v>
      </c>
      <c r="M428" s="351" t="s">
        <v>4518</v>
      </c>
      <c r="N428" s="352" t="s">
        <v>1097</v>
      </c>
      <c r="O428" s="352" t="s">
        <v>1098</v>
      </c>
      <c r="P428" t="s">
        <v>242</v>
      </c>
    </row>
    <row r="429" spans="12:16" ht="15.9" x14ac:dyDescent="0.45">
      <c r="L429" s="350">
        <v>310913</v>
      </c>
      <c r="M429" s="351" t="s">
        <v>4519</v>
      </c>
      <c r="N429" s="352" t="s">
        <v>1099</v>
      </c>
      <c r="O429" s="352" t="s">
        <v>1100</v>
      </c>
      <c r="P429" t="s">
        <v>242</v>
      </c>
    </row>
    <row r="430" spans="12:16" ht="15.9" x14ac:dyDescent="0.45">
      <c r="L430" s="350">
        <v>310914</v>
      </c>
      <c r="M430" s="351" t="s">
        <v>4520</v>
      </c>
      <c r="N430" s="352" t="s">
        <v>1101</v>
      </c>
      <c r="O430" s="352" t="s">
        <v>1102</v>
      </c>
      <c r="P430" t="s">
        <v>242</v>
      </c>
    </row>
    <row r="431" spans="12:16" ht="15.9" x14ac:dyDescent="0.45">
      <c r="L431" s="350">
        <v>310915</v>
      </c>
      <c r="M431" s="351" t="s">
        <v>4521</v>
      </c>
      <c r="N431" s="352" t="s">
        <v>1103</v>
      </c>
      <c r="O431" s="352" t="s">
        <v>1104</v>
      </c>
      <c r="P431" t="s">
        <v>242</v>
      </c>
    </row>
    <row r="432" spans="12:16" ht="15.9" x14ac:dyDescent="0.45">
      <c r="L432" s="350">
        <v>310916</v>
      </c>
      <c r="M432" s="351" t="s">
        <v>4522</v>
      </c>
      <c r="N432" s="352" t="s">
        <v>1105</v>
      </c>
      <c r="O432" s="352" t="s">
        <v>1106</v>
      </c>
      <c r="P432" t="s">
        <v>242</v>
      </c>
    </row>
    <row r="433" spans="12:16" ht="15.9" x14ac:dyDescent="0.45">
      <c r="L433" s="350">
        <v>310917</v>
      </c>
      <c r="M433" s="351" t="s">
        <v>4523</v>
      </c>
      <c r="N433" s="352" t="s">
        <v>1107</v>
      </c>
      <c r="O433" s="352" t="s">
        <v>1108</v>
      </c>
      <c r="P433" t="s">
        <v>242</v>
      </c>
    </row>
    <row r="434" spans="12:16" ht="15.9" x14ac:dyDescent="0.45">
      <c r="L434" s="350">
        <v>310919</v>
      </c>
      <c r="M434" s="351" t="s">
        <v>4524</v>
      </c>
      <c r="N434" s="352" t="s">
        <v>1109</v>
      </c>
      <c r="O434" s="352" t="s">
        <v>1110</v>
      </c>
      <c r="P434" t="s">
        <v>242</v>
      </c>
    </row>
    <row r="435" spans="12:16" ht="15.9" x14ac:dyDescent="0.45">
      <c r="L435" s="350">
        <v>310921</v>
      </c>
      <c r="M435" s="351" t="s">
        <v>4525</v>
      </c>
      <c r="N435" s="352" t="s">
        <v>1111</v>
      </c>
      <c r="O435" s="352" t="s">
        <v>1112</v>
      </c>
      <c r="P435" t="s">
        <v>242</v>
      </c>
    </row>
    <row r="436" spans="12:16" ht="15.9" x14ac:dyDescent="0.45">
      <c r="L436" s="350">
        <v>310922</v>
      </c>
      <c r="M436" s="351" t="s">
        <v>4526</v>
      </c>
      <c r="N436" s="352" t="s">
        <v>1113</v>
      </c>
      <c r="O436" s="352" t="s">
        <v>1114</v>
      </c>
      <c r="P436" t="s">
        <v>242</v>
      </c>
    </row>
    <row r="437" spans="12:16" ht="15.9" x14ac:dyDescent="0.45">
      <c r="L437" s="350">
        <v>310923</v>
      </c>
      <c r="M437" s="351" t="s">
        <v>4527</v>
      </c>
      <c r="N437" s="352" t="s">
        <v>1115</v>
      </c>
      <c r="O437" s="352" t="s">
        <v>1116</v>
      </c>
      <c r="P437" t="s">
        <v>242</v>
      </c>
    </row>
    <row r="438" spans="12:16" ht="15.9" x14ac:dyDescent="0.45">
      <c r="L438" s="350">
        <v>310924</v>
      </c>
      <c r="M438" s="351" t="s">
        <v>4528</v>
      </c>
      <c r="N438" s="352" t="s">
        <v>1117</v>
      </c>
      <c r="O438" s="352" t="s">
        <v>1118</v>
      </c>
      <c r="P438" t="s">
        <v>242</v>
      </c>
    </row>
    <row r="439" spans="12:16" ht="15.9" x14ac:dyDescent="0.45">
      <c r="L439" s="350">
        <v>310925</v>
      </c>
      <c r="M439" s="351" t="s">
        <v>4529</v>
      </c>
      <c r="N439" s="352" t="s">
        <v>1119</v>
      </c>
      <c r="O439" s="352" t="s">
        <v>1120</v>
      </c>
      <c r="P439" t="s">
        <v>242</v>
      </c>
    </row>
    <row r="440" spans="12:16" ht="15.9" x14ac:dyDescent="0.45">
      <c r="L440" s="350">
        <v>310926</v>
      </c>
      <c r="M440" s="351" t="s">
        <v>4530</v>
      </c>
      <c r="N440" s="352" t="s">
        <v>1121</v>
      </c>
      <c r="O440" s="352" t="s">
        <v>1122</v>
      </c>
      <c r="P440" t="s">
        <v>242</v>
      </c>
    </row>
    <row r="441" spans="12:16" ht="15.9" x14ac:dyDescent="0.45">
      <c r="L441" s="350">
        <v>310927</v>
      </c>
      <c r="M441" s="351" t="s">
        <v>4531</v>
      </c>
      <c r="N441" s="352" t="s">
        <v>1123</v>
      </c>
      <c r="O441" s="352" t="s">
        <v>1124</v>
      </c>
      <c r="P441" t="s">
        <v>242</v>
      </c>
    </row>
    <row r="442" spans="12:16" ht="15.9" x14ac:dyDescent="0.45">
      <c r="L442" s="350">
        <v>310928</v>
      </c>
      <c r="M442" s="351" t="s">
        <v>4532</v>
      </c>
      <c r="N442" s="352" t="s">
        <v>1125</v>
      </c>
      <c r="O442" s="352" t="s">
        <v>1126</v>
      </c>
      <c r="P442" t="s">
        <v>242</v>
      </c>
    </row>
    <row r="443" spans="12:16" ht="15.9" x14ac:dyDescent="0.45">
      <c r="L443" s="350">
        <v>310929</v>
      </c>
      <c r="M443" s="351" t="s">
        <v>4533</v>
      </c>
      <c r="N443" s="352" t="s">
        <v>1127</v>
      </c>
      <c r="O443" s="352" t="s">
        <v>1128</v>
      </c>
      <c r="P443" t="s">
        <v>242</v>
      </c>
    </row>
    <row r="444" spans="12:16" ht="15.9" x14ac:dyDescent="0.45">
      <c r="L444" s="350">
        <v>310931</v>
      </c>
      <c r="M444" s="351" t="s">
        <v>4534</v>
      </c>
      <c r="N444" s="352" t="s">
        <v>1129</v>
      </c>
      <c r="O444" s="352" t="s">
        <v>1130</v>
      </c>
      <c r="P444" t="s">
        <v>242</v>
      </c>
    </row>
    <row r="445" spans="12:16" ht="15.9" x14ac:dyDescent="0.45">
      <c r="L445" s="350">
        <v>310932</v>
      </c>
      <c r="M445" s="351" t="s">
        <v>4535</v>
      </c>
      <c r="N445" s="352" t="s">
        <v>1131</v>
      </c>
      <c r="O445" s="352" t="s">
        <v>1132</v>
      </c>
      <c r="P445" t="s">
        <v>242</v>
      </c>
    </row>
    <row r="446" spans="12:16" ht="15.9" x14ac:dyDescent="0.45">
      <c r="L446" s="350">
        <v>310933</v>
      </c>
      <c r="M446" s="351" t="s">
        <v>4536</v>
      </c>
      <c r="N446" s="352" t="s">
        <v>1133</v>
      </c>
      <c r="O446" s="352" t="s">
        <v>1134</v>
      </c>
      <c r="P446" t="s">
        <v>242</v>
      </c>
    </row>
    <row r="447" spans="12:16" ht="15.9" x14ac:dyDescent="0.45">
      <c r="L447" s="350">
        <v>310943</v>
      </c>
      <c r="M447" s="351" t="s">
        <v>4537</v>
      </c>
      <c r="N447" s="352" t="s">
        <v>1135</v>
      </c>
      <c r="O447" s="352" t="s">
        <v>1136</v>
      </c>
      <c r="P447" t="s">
        <v>242</v>
      </c>
    </row>
    <row r="448" spans="12:16" ht="15.9" x14ac:dyDescent="0.45">
      <c r="L448" s="350">
        <v>311114</v>
      </c>
      <c r="M448" s="351" t="s">
        <v>4538</v>
      </c>
      <c r="N448" s="352" t="s">
        <v>1137</v>
      </c>
      <c r="O448" s="352" t="s">
        <v>1138</v>
      </c>
      <c r="P448" t="s">
        <v>242</v>
      </c>
    </row>
    <row r="449" spans="12:16" ht="15.9" x14ac:dyDescent="0.45">
      <c r="L449" s="350">
        <v>311115</v>
      </c>
      <c r="M449" s="351" t="s">
        <v>4539</v>
      </c>
      <c r="N449" s="352" t="s">
        <v>1139</v>
      </c>
      <c r="O449" s="352" t="s">
        <v>1140</v>
      </c>
      <c r="P449" t="s">
        <v>242</v>
      </c>
    </row>
    <row r="450" spans="12:16" ht="15.9" x14ac:dyDescent="0.45">
      <c r="L450" s="350">
        <v>311171</v>
      </c>
      <c r="M450" s="351" t="s">
        <v>4540</v>
      </c>
      <c r="N450" s="352" t="s">
        <v>1141</v>
      </c>
      <c r="O450" s="352" t="s">
        <v>1142</v>
      </c>
      <c r="P450" t="s">
        <v>242</v>
      </c>
    </row>
    <row r="451" spans="12:16" ht="15.9" x14ac:dyDescent="0.45">
      <c r="L451" s="350">
        <v>311173</v>
      </c>
      <c r="M451" s="351" t="s">
        <v>4541</v>
      </c>
      <c r="N451" s="352" t="s">
        <v>1143</v>
      </c>
      <c r="O451" s="352" t="s">
        <v>1144</v>
      </c>
      <c r="P451" t="s">
        <v>242</v>
      </c>
    </row>
    <row r="452" spans="12:16" ht="15.9" x14ac:dyDescent="0.45">
      <c r="L452" s="350">
        <v>311174</v>
      </c>
      <c r="M452" s="351" t="s">
        <v>4542</v>
      </c>
      <c r="N452" s="352" t="s">
        <v>1145</v>
      </c>
      <c r="O452" s="352" t="s">
        <v>1146</v>
      </c>
      <c r="P452" t="s">
        <v>242</v>
      </c>
    </row>
    <row r="453" spans="12:16" ht="15.9" x14ac:dyDescent="0.45">
      <c r="L453" s="350">
        <v>312472</v>
      </c>
      <c r="M453" s="351" t="s">
        <v>4543</v>
      </c>
      <c r="N453" s="352" t="s">
        <v>1147</v>
      </c>
      <c r="O453" s="352" t="s">
        <v>1148</v>
      </c>
      <c r="P453" t="s">
        <v>242</v>
      </c>
    </row>
    <row r="454" spans="12:16" ht="15.9" x14ac:dyDescent="0.45">
      <c r="L454" s="350">
        <v>312476</v>
      </c>
      <c r="M454" s="351" t="s">
        <v>4544</v>
      </c>
      <c r="N454" s="352" t="s">
        <v>1149</v>
      </c>
      <c r="O454" s="352" t="s">
        <v>1150</v>
      </c>
      <c r="P454" t="s">
        <v>242</v>
      </c>
    </row>
    <row r="455" spans="12:16" ht="15.9" x14ac:dyDescent="0.45">
      <c r="L455" s="350">
        <v>312477</v>
      </c>
      <c r="M455" s="351" t="s">
        <v>4545</v>
      </c>
      <c r="N455" s="352" t="s">
        <v>1151</v>
      </c>
      <c r="O455" s="352" t="s">
        <v>1152</v>
      </c>
      <c r="P455" t="s">
        <v>242</v>
      </c>
    </row>
    <row r="456" spans="12:16" ht="15.9" x14ac:dyDescent="0.45">
      <c r="L456" s="350">
        <v>312941</v>
      </c>
      <c r="M456" s="351" t="s">
        <v>4546</v>
      </c>
      <c r="N456" s="352" t="s">
        <v>1153</v>
      </c>
      <c r="O456" s="352" t="s">
        <v>1154</v>
      </c>
      <c r="P456" t="s">
        <v>242</v>
      </c>
    </row>
    <row r="457" spans="12:16" ht="15.9" x14ac:dyDescent="0.45">
      <c r="L457" s="350">
        <v>315222</v>
      </c>
      <c r="M457" s="351" t="s">
        <v>4547</v>
      </c>
      <c r="N457" s="352" t="s">
        <v>1155</v>
      </c>
      <c r="O457" s="352" t="s">
        <v>1156</v>
      </c>
      <c r="P457" t="s">
        <v>242</v>
      </c>
    </row>
    <row r="458" spans="12:16" ht="15.9" x14ac:dyDescent="0.45">
      <c r="L458" s="350">
        <v>315236</v>
      </c>
      <c r="M458" s="351" t="s">
        <v>4548</v>
      </c>
      <c r="N458" s="352" t="s">
        <v>1157</v>
      </c>
      <c r="O458" s="352" t="s">
        <v>1158</v>
      </c>
      <c r="P458" t="s">
        <v>242</v>
      </c>
    </row>
    <row r="459" spans="12:16" ht="15.9" x14ac:dyDescent="0.45">
      <c r="L459" s="350">
        <v>315237</v>
      </c>
      <c r="M459" s="351" t="s">
        <v>4549</v>
      </c>
      <c r="N459" s="352" t="s">
        <v>1159</v>
      </c>
      <c r="O459" s="352" t="s">
        <v>1160</v>
      </c>
      <c r="P459" t="s">
        <v>242</v>
      </c>
    </row>
    <row r="460" spans="12:16" ht="15.9" x14ac:dyDescent="0.45">
      <c r="L460" s="350">
        <v>315944</v>
      </c>
      <c r="M460" s="351" t="s">
        <v>4550</v>
      </c>
      <c r="N460" s="352" t="s">
        <v>1161</v>
      </c>
      <c r="O460" s="352" t="s">
        <v>1162</v>
      </c>
      <c r="P460" t="s">
        <v>242</v>
      </c>
    </row>
    <row r="461" spans="12:16" ht="15.9" x14ac:dyDescent="0.45">
      <c r="L461" s="350">
        <v>316333</v>
      </c>
      <c r="M461" s="351" t="s">
        <v>4551</v>
      </c>
      <c r="N461" s="352" t="s">
        <v>1163</v>
      </c>
      <c r="O461" s="352" t="s">
        <v>1164</v>
      </c>
      <c r="P461" t="s">
        <v>242</v>
      </c>
    </row>
    <row r="462" spans="12:16" ht="15.9" x14ac:dyDescent="0.45">
      <c r="L462" s="350">
        <v>317311</v>
      </c>
      <c r="M462" s="351" t="s">
        <v>4552</v>
      </c>
      <c r="N462" s="352" t="s">
        <v>1165</v>
      </c>
      <c r="O462" s="352" t="s">
        <v>1166</v>
      </c>
      <c r="P462" t="s">
        <v>242</v>
      </c>
    </row>
    <row r="463" spans="12:16" ht="15.9" x14ac:dyDescent="0.45">
      <c r="L463" s="350">
        <v>317315</v>
      </c>
      <c r="M463" s="351" t="s">
        <v>4553</v>
      </c>
      <c r="N463" s="352" t="s">
        <v>1167</v>
      </c>
      <c r="O463" s="352" t="s">
        <v>1168</v>
      </c>
      <c r="P463" t="s">
        <v>242</v>
      </c>
    </row>
    <row r="464" spans="12:16" ht="15.9" x14ac:dyDescent="0.45">
      <c r="L464" s="350">
        <v>317316</v>
      </c>
      <c r="M464" s="351" t="s">
        <v>4554</v>
      </c>
      <c r="N464" s="352" t="s">
        <v>1169</v>
      </c>
      <c r="O464" s="352" t="s">
        <v>1170</v>
      </c>
      <c r="P464" t="s">
        <v>242</v>
      </c>
    </row>
    <row r="465" spans="12:16" ht="15.9" x14ac:dyDescent="0.45">
      <c r="L465" s="350">
        <v>317932</v>
      </c>
      <c r="M465" s="351" t="s">
        <v>4555</v>
      </c>
      <c r="N465" s="352" t="s">
        <v>1171</v>
      </c>
      <c r="O465" s="352" t="s">
        <v>1172</v>
      </c>
      <c r="P465" t="s">
        <v>242</v>
      </c>
    </row>
    <row r="466" spans="12:16" ht="15.9" x14ac:dyDescent="0.45">
      <c r="L466" s="350">
        <v>318612</v>
      </c>
      <c r="M466" s="351" t="s">
        <v>4556</v>
      </c>
      <c r="N466" s="352" t="s">
        <v>1173</v>
      </c>
      <c r="O466" s="352" t="s">
        <v>1174</v>
      </c>
      <c r="P466" t="s">
        <v>242</v>
      </c>
    </row>
    <row r="467" spans="12:16" ht="15.9" x14ac:dyDescent="0.45">
      <c r="L467" s="350">
        <v>318614</v>
      </c>
      <c r="M467" s="351" t="s">
        <v>4557</v>
      </c>
      <c r="N467" s="352" t="s">
        <v>1175</v>
      </c>
      <c r="O467" s="352" t="s">
        <v>1176</v>
      </c>
      <c r="P467" t="s">
        <v>242</v>
      </c>
    </row>
    <row r="468" spans="12:16" ht="15.9" x14ac:dyDescent="0.45">
      <c r="L468" s="350">
        <v>318615</v>
      </c>
      <c r="M468" s="351" t="s">
        <v>4558</v>
      </c>
      <c r="N468" s="352" t="s">
        <v>1177</v>
      </c>
      <c r="O468" s="352" t="s">
        <v>1178</v>
      </c>
      <c r="P468" t="s">
        <v>242</v>
      </c>
    </row>
    <row r="469" spans="12:16" ht="15.9" x14ac:dyDescent="0.45">
      <c r="L469" s="350">
        <v>318632</v>
      </c>
      <c r="M469" s="351" t="s">
        <v>4559</v>
      </c>
      <c r="N469" s="352" t="s">
        <v>1179</v>
      </c>
      <c r="O469" s="352" t="s">
        <v>1180</v>
      </c>
      <c r="P469" t="s">
        <v>242</v>
      </c>
    </row>
    <row r="470" spans="12:16" ht="15.9" x14ac:dyDescent="0.45">
      <c r="L470" s="350">
        <v>319150</v>
      </c>
      <c r="M470" s="351" t="s">
        <v>4560</v>
      </c>
      <c r="N470" s="352" t="s">
        <v>4561</v>
      </c>
      <c r="O470" s="352" t="s">
        <v>383</v>
      </c>
      <c r="P470" t="s">
        <v>242</v>
      </c>
    </row>
    <row r="471" spans="12:16" ht="15.9" x14ac:dyDescent="0.45">
      <c r="L471" s="350">
        <v>319441</v>
      </c>
      <c r="M471" s="351" t="s">
        <v>4562</v>
      </c>
      <c r="N471" s="352" t="s">
        <v>1181</v>
      </c>
      <c r="O471" s="352" t="s">
        <v>1182</v>
      </c>
      <c r="P471" t="s">
        <v>242</v>
      </c>
    </row>
    <row r="472" spans="12:16" ht="15.9" x14ac:dyDescent="0.45">
      <c r="L472" s="350">
        <v>319442</v>
      </c>
      <c r="M472" s="351" t="s">
        <v>4563</v>
      </c>
      <c r="N472" s="352" t="s">
        <v>1183</v>
      </c>
      <c r="O472" s="352" t="s">
        <v>1184</v>
      </c>
      <c r="P472" t="s">
        <v>242</v>
      </c>
    </row>
    <row r="473" spans="12:16" ht="15.9" x14ac:dyDescent="0.45">
      <c r="L473" s="350">
        <v>319443</v>
      </c>
      <c r="M473" s="351" t="s">
        <v>4564</v>
      </c>
      <c r="N473" s="352" t="s">
        <v>1185</v>
      </c>
      <c r="O473" s="352" t="s">
        <v>1186</v>
      </c>
      <c r="P473" t="s">
        <v>242</v>
      </c>
    </row>
    <row r="474" spans="12:16" ht="15.9" x14ac:dyDescent="0.45">
      <c r="L474" s="350">
        <v>319946</v>
      </c>
      <c r="M474" s="351" t="s">
        <v>4565</v>
      </c>
      <c r="N474" s="352" t="s">
        <v>1187</v>
      </c>
      <c r="O474" s="352" t="s">
        <v>1188</v>
      </c>
      <c r="P474" t="s">
        <v>242</v>
      </c>
    </row>
    <row r="475" spans="12:16" ht="15.9" x14ac:dyDescent="0.45">
      <c r="L475" s="350">
        <v>319951</v>
      </c>
      <c r="M475" s="351" t="s">
        <v>4566</v>
      </c>
      <c r="N475" s="352" t="s">
        <v>1189</v>
      </c>
      <c r="O475" s="352" t="s">
        <v>1190</v>
      </c>
      <c r="P475" t="s">
        <v>242</v>
      </c>
    </row>
    <row r="476" spans="12:16" ht="15.9" x14ac:dyDescent="0.45">
      <c r="L476" s="350">
        <v>319995</v>
      </c>
      <c r="M476" s="351" t="s">
        <v>4567</v>
      </c>
      <c r="N476" s="352" t="s">
        <v>1191</v>
      </c>
      <c r="O476" s="352" t="s">
        <v>1192</v>
      </c>
      <c r="P476" t="s">
        <v>242</v>
      </c>
    </row>
    <row r="477" spans="12:16" ht="15.9" x14ac:dyDescent="0.45">
      <c r="L477" s="350">
        <v>321123</v>
      </c>
      <c r="M477" s="351" t="s">
        <v>4568</v>
      </c>
      <c r="N477" s="352" t="s">
        <v>1193</v>
      </c>
      <c r="O477" s="352" t="s">
        <v>1194</v>
      </c>
      <c r="P477" t="s">
        <v>242</v>
      </c>
    </row>
    <row r="478" spans="12:16" ht="15.9" x14ac:dyDescent="0.45">
      <c r="L478" s="350">
        <v>371100</v>
      </c>
      <c r="M478" s="351" t="s">
        <v>4569</v>
      </c>
      <c r="N478" s="352" t="s">
        <v>4571</v>
      </c>
      <c r="O478" s="352" t="s">
        <v>383</v>
      </c>
      <c r="P478" t="s">
        <v>242</v>
      </c>
    </row>
    <row r="479" spans="12:16" ht="15.9" x14ac:dyDescent="0.45">
      <c r="L479" s="350">
        <v>371475</v>
      </c>
      <c r="M479" s="351" t="s">
        <v>4572</v>
      </c>
      <c r="N479" s="352" t="s">
        <v>1195</v>
      </c>
      <c r="O479" s="352" t="s">
        <v>1196</v>
      </c>
      <c r="P479" t="s">
        <v>242</v>
      </c>
    </row>
    <row r="480" spans="12:16" ht="15.9" x14ac:dyDescent="0.45">
      <c r="L480" s="350">
        <v>371484</v>
      </c>
      <c r="M480" s="351" t="s">
        <v>4573</v>
      </c>
      <c r="N480" s="352" t="s">
        <v>1197</v>
      </c>
      <c r="O480" s="352" t="s">
        <v>1198</v>
      </c>
      <c r="P480" t="s">
        <v>242</v>
      </c>
    </row>
    <row r="481" spans="12:16" ht="15.9" x14ac:dyDescent="0.45">
      <c r="L481" s="350">
        <v>371485</v>
      </c>
      <c r="M481" s="351" t="s">
        <v>4574</v>
      </c>
      <c r="N481" s="352" t="s">
        <v>4575</v>
      </c>
      <c r="O481" s="352" t="s">
        <v>1199</v>
      </c>
      <c r="P481" t="s">
        <v>242</v>
      </c>
    </row>
    <row r="482" spans="12:16" ht="15.9" x14ac:dyDescent="0.45">
      <c r="L482" s="350">
        <v>371486</v>
      </c>
      <c r="M482" s="351" t="s">
        <v>4576</v>
      </c>
      <c r="N482" s="352" t="s">
        <v>4577</v>
      </c>
      <c r="O482" s="352" t="s">
        <v>1200</v>
      </c>
      <c r="P482" t="s">
        <v>242</v>
      </c>
    </row>
    <row r="483" spans="12:16" ht="15.9" x14ac:dyDescent="0.45">
      <c r="L483" s="350">
        <v>371923</v>
      </c>
      <c r="M483" s="351" t="s">
        <v>4578</v>
      </c>
      <c r="N483" s="352" t="s">
        <v>1201</v>
      </c>
      <c r="O483" s="352" t="s">
        <v>1202</v>
      </c>
      <c r="P483" t="s">
        <v>242</v>
      </c>
    </row>
    <row r="484" spans="12:16" ht="15.9" x14ac:dyDescent="0.45">
      <c r="L484" s="350">
        <v>390125</v>
      </c>
      <c r="M484" s="351" t="s">
        <v>4579</v>
      </c>
      <c r="N484" s="352" t="s">
        <v>1203</v>
      </c>
      <c r="O484" s="352" t="s">
        <v>1204</v>
      </c>
      <c r="P484" t="s">
        <v>242</v>
      </c>
    </row>
    <row r="485" spans="12:16" ht="15.9" x14ac:dyDescent="0.45">
      <c r="L485" s="350">
        <v>390127</v>
      </c>
      <c r="M485" s="351" t="s">
        <v>4580</v>
      </c>
      <c r="N485" s="352" t="s">
        <v>1205</v>
      </c>
      <c r="O485" s="352" t="s">
        <v>1206</v>
      </c>
      <c r="P485" t="s">
        <v>242</v>
      </c>
    </row>
    <row r="486" spans="12:16" ht="15.9" x14ac:dyDescent="0.45">
      <c r="L486" s="350">
        <v>390128</v>
      </c>
      <c r="M486" s="351" t="s">
        <v>4581</v>
      </c>
      <c r="N486" s="352" t="s">
        <v>1207</v>
      </c>
      <c r="O486" s="352" t="s">
        <v>1208</v>
      </c>
      <c r="P486" t="s">
        <v>242</v>
      </c>
    </row>
    <row r="487" spans="12:16" ht="15.9" x14ac:dyDescent="0.45">
      <c r="L487" s="350">
        <v>390129</v>
      </c>
      <c r="M487" s="351" t="s">
        <v>4582</v>
      </c>
      <c r="N487" s="352" t="s">
        <v>1209</v>
      </c>
      <c r="O487" s="352" t="s">
        <v>1210</v>
      </c>
      <c r="P487" t="s">
        <v>242</v>
      </c>
    </row>
    <row r="488" spans="12:16" ht="15.9" x14ac:dyDescent="0.45">
      <c r="L488" s="350">
        <v>390130</v>
      </c>
      <c r="M488" s="351" t="s">
        <v>4583</v>
      </c>
      <c r="N488" s="352" t="s">
        <v>4584</v>
      </c>
      <c r="O488" s="352" t="s">
        <v>383</v>
      </c>
      <c r="P488" t="s">
        <v>242</v>
      </c>
    </row>
    <row r="489" spans="12:16" ht="15.9" x14ac:dyDescent="0.45">
      <c r="L489" s="350">
        <v>390157</v>
      </c>
      <c r="M489" s="351" t="s">
        <v>4585</v>
      </c>
      <c r="N489" s="352" t="s">
        <v>1211</v>
      </c>
      <c r="O489" s="352" t="s">
        <v>1212</v>
      </c>
      <c r="P489" t="s">
        <v>242</v>
      </c>
    </row>
    <row r="490" spans="12:16" ht="15.9" x14ac:dyDescent="0.45">
      <c r="L490" s="350">
        <v>390171</v>
      </c>
      <c r="M490" s="351" t="s">
        <v>4586</v>
      </c>
      <c r="N490" s="352" t="s">
        <v>1213</v>
      </c>
      <c r="O490" s="352" t="s">
        <v>1214</v>
      </c>
      <c r="P490" t="s">
        <v>242</v>
      </c>
    </row>
    <row r="491" spans="12:16" ht="15.9" x14ac:dyDescent="0.45">
      <c r="L491" s="350">
        <v>390222</v>
      </c>
      <c r="M491" s="351" t="s">
        <v>4587</v>
      </c>
      <c r="N491" s="352" t="s">
        <v>4588</v>
      </c>
      <c r="O491" s="352" t="s">
        <v>1215</v>
      </c>
      <c r="P491" t="s">
        <v>242</v>
      </c>
    </row>
    <row r="492" spans="12:16" ht="15.9" x14ac:dyDescent="0.45">
      <c r="L492" s="350">
        <v>390224</v>
      </c>
      <c r="M492" s="351" t="s">
        <v>4589</v>
      </c>
      <c r="N492" s="352" t="s">
        <v>1216</v>
      </c>
      <c r="O492" s="352" t="s">
        <v>1217</v>
      </c>
      <c r="P492" t="s">
        <v>242</v>
      </c>
    </row>
    <row r="493" spans="12:16" ht="15.9" x14ac:dyDescent="0.45">
      <c r="L493" s="350">
        <v>390311</v>
      </c>
      <c r="M493" s="351" t="s">
        <v>4590</v>
      </c>
      <c r="N493" s="352" t="s">
        <v>1218</v>
      </c>
      <c r="O493" s="352" t="s">
        <v>1219</v>
      </c>
      <c r="P493" t="s">
        <v>242</v>
      </c>
    </row>
    <row r="494" spans="12:16" ht="15.9" x14ac:dyDescent="0.45">
      <c r="L494" s="350">
        <v>390381</v>
      </c>
      <c r="M494" s="351" t="s">
        <v>4591</v>
      </c>
      <c r="N494" s="352" t="s">
        <v>1220</v>
      </c>
      <c r="O494" s="352" t="s">
        <v>1221</v>
      </c>
      <c r="P494" t="s">
        <v>242</v>
      </c>
    </row>
    <row r="495" spans="12:16" ht="15.9" x14ac:dyDescent="0.45">
      <c r="L495" s="350">
        <v>390531</v>
      </c>
      <c r="M495" s="351" t="s">
        <v>4592</v>
      </c>
      <c r="N495" s="352" t="s">
        <v>4593</v>
      </c>
      <c r="O495" s="352" t="s">
        <v>1222</v>
      </c>
      <c r="P495" t="s">
        <v>242</v>
      </c>
    </row>
    <row r="496" spans="12:16" ht="15.9" x14ac:dyDescent="0.45">
      <c r="L496" s="350">
        <v>390551</v>
      </c>
      <c r="M496" s="351" t="s">
        <v>4594</v>
      </c>
      <c r="N496" s="352" t="s">
        <v>1223</v>
      </c>
      <c r="O496" s="352" t="s">
        <v>1224</v>
      </c>
      <c r="P496" t="s">
        <v>242</v>
      </c>
    </row>
    <row r="497" spans="12:16" ht="15.9" x14ac:dyDescent="0.45">
      <c r="L497" s="350">
        <v>390562</v>
      </c>
      <c r="M497" s="351" t="s">
        <v>4595</v>
      </c>
      <c r="N497" s="352" t="s">
        <v>1225</v>
      </c>
      <c r="O497" s="352" t="s">
        <v>1226</v>
      </c>
      <c r="P497" t="s">
        <v>242</v>
      </c>
    </row>
    <row r="498" spans="12:16" ht="15.9" x14ac:dyDescent="0.45">
      <c r="L498" s="350">
        <v>390598</v>
      </c>
      <c r="M498" s="351" t="s">
        <v>4596</v>
      </c>
      <c r="N498" s="352" t="s">
        <v>4598</v>
      </c>
      <c r="O498" s="352" t="s">
        <v>383</v>
      </c>
      <c r="P498" t="s">
        <v>242</v>
      </c>
    </row>
    <row r="499" spans="12:16" ht="15.9" x14ac:dyDescent="0.45">
      <c r="L499" s="350">
        <v>390611</v>
      </c>
      <c r="M499" s="351" t="s">
        <v>4601</v>
      </c>
      <c r="N499" s="352" t="s">
        <v>1227</v>
      </c>
      <c r="O499" s="352" t="s">
        <v>1228</v>
      </c>
      <c r="P499" t="s">
        <v>242</v>
      </c>
    </row>
    <row r="500" spans="12:16" ht="15.9" x14ac:dyDescent="0.45">
      <c r="L500" s="350">
        <v>390612</v>
      </c>
      <c r="M500" s="351" t="s">
        <v>4602</v>
      </c>
      <c r="N500" s="352" t="s">
        <v>1229</v>
      </c>
      <c r="O500" s="352" t="s">
        <v>1230</v>
      </c>
      <c r="P500" t="s">
        <v>242</v>
      </c>
    </row>
    <row r="501" spans="12:16" ht="15.9" x14ac:dyDescent="0.45">
      <c r="L501" s="350">
        <v>390614</v>
      </c>
      <c r="M501" s="351" t="s">
        <v>4603</v>
      </c>
      <c r="N501" s="352" t="s">
        <v>1231</v>
      </c>
      <c r="O501" s="352" t="s">
        <v>1232</v>
      </c>
      <c r="P501" t="s">
        <v>242</v>
      </c>
    </row>
    <row r="502" spans="12:16" ht="15.9" x14ac:dyDescent="0.45">
      <c r="L502" s="350">
        <v>390719</v>
      </c>
      <c r="M502" s="351" t="s">
        <v>4604</v>
      </c>
      <c r="N502" s="352" t="s">
        <v>1233</v>
      </c>
      <c r="O502" s="352" t="s">
        <v>1234</v>
      </c>
      <c r="P502" t="s">
        <v>242</v>
      </c>
    </row>
    <row r="503" spans="12:16" ht="15.9" x14ac:dyDescent="0.45">
      <c r="L503" s="350">
        <v>390915</v>
      </c>
      <c r="M503" s="351" t="s">
        <v>4605</v>
      </c>
      <c r="N503" s="352" t="s">
        <v>1235</v>
      </c>
      <c r="O503" s="352" t="s">
        <v>1236</v>
      </c>
      <c r="P503" t="s">
        <v>242</v>
      </c>
    </row>
    <row r="504" spans="12:16" ht="15.9" x14ac:dyDescent="0.45">
      <c r="L504" s="350">
        <v>411123</v>
      </c>
      <c r="M504" s="351" t="s">
        <v>4606</v>
      </c>
      <c r="N504" s="352" t="s">
        <v>1237</v>
      </c>
      <c r="O504" s="352" t="s">
        <v>1238</v>
      </c>
      <c r="P504" t="s">
        <v>242</v>
      </c>
    </row>
    <row r="505" spans="12:16" ht="15.9" x14ac:dyDescent="0.45">
      <c r="L505" s="350">
        <v>411127</v>
      </c>
      <c r="M505" s="351" t="s">
        <v>4608</v>
      </c>
      <c r="N505" s="352" t="s">
        <v>1239</v>
      </c>
      <c r="O505" s="352" t="s">
        <v>1240</v>
      </c>
      <c r="P505" t="s">
        <v>242</v>
      </c>
    </row>
    <row r="506" spans="12:16" ht="15.9" x14ac:dyDescent="0.45">
      <c r="L506" s="350">
        <v>411128</v>
      </c>
      <c r="M506" s="351" t="s">
        <v>4610</v>
      </c>
      <c r="N506" s="352" t="s">
        <v>4611</v>
      </c>
      <c r="O506" s="352" t="s">
        <v>1241</v>
      </c>
      <c r="P506" t="s">
        <v>242</v>
      </c>
    </row>
    <row r="507" spans="12:16" ht="15.9" x14ac:dyDescent="0.45">
      <c r="L507" s="350">
        <v>411131</v>
      </c>
      <c r="M507" s="351" t="s">
        <v>4613</v>
      </c>
      <c r="N507" s="352" t="s">
        <v>4614</v>
      </c>
      <c r="O507" s="352" t="s">
        <v>1242</v>
      </c>
      <c r="P507" t="s">
        <v>242</v>
      </c>
    </row>
    <row r="508" spans="12:16" ht="15.9" x14ac:dyDescent="0.45">
      <c r="L508" s="350">
        <v>411132</v>
      </c>
      <c r="M508" s="351" t="s">
        <v>4615</v>
      </c>
      <c r="N508" s="352" t="s">
        <v>4616</v>
      </c>
      <c r="O508" s="352" t="s">
        <v>1243</v>
      </c>
      <c r="P508" t="s">
        <v>242</v>
      </c>
    </row>
    <row r="509" spans="12:16" ht="15.9" x14ac:dyDescent="0.45">
      <c r="L509" s="350">
        <v>411134</v>
      </c>
      <c r="M509" s="351" t="s">
        <v>4617</v>
      </c>
      <c r="N509" s="352" t="s">
        <v>4618</v>
      </c>
      <c r="O509" s="352" t="s">
        <v>1244</v>
      </c>
      <c r="P509" t="s">
        <v>242</v>
      </c>
    </row>
    <row r="510" spans="12:16" ht="15.9" x14ac:dyDescent="0.45">
      <c r="L510" s="350">
        <v>411135</v>
      </c>
      <c r="M510" s="351" t="s">
        <v>4620</v>
      </c>
      <c r="N510" s="352" t="s">
        <v>4621</v>
      </c>
      <c r="O510" s="352" t="s">
        <v>1245</v>
      </c>
      <c r="P510" t="s">
        <v>242</v>
      </c>
    </row>
    <row r="511" spans="12:16" ht="15.9" x14ac:dyDescent="0.45">
      <c r="L511" s="350">
        <v>411137</v>
      </c>
      <c r="M511" s="351" t="s">
        <v>4622</v>
      </c>
      <c r="N511" s="352" t="s">
        <v>4623</v>
      </c>
      <c r="O511" s="352" t="s">
        <v>1246</v>
      </c>
      <c r="P511" t="s">
        <v>242</v>
      </c>
    </row>
    <row r="512" spans="12:16" ht="15.9" x14ac:dyDescent="0.45">
      <c r="L512" s="350">
        <v>411138</v>
      </c>
      <c r="M512" s="351" t="s">
        <v>4625</v>
      </c>
      <c r="N512" s="352" t="s">
        <v>4626</v>
      </c>
      <c r="O512" s="352" t="s">
        <v>1247</v>
      </c>
      <c r="P512" t="s">
        <v>242</v>
      </c>
    </row>
    <row r="513" spans="12:16" ht="15.9" x14ac:dyDescent="0.45">
      <c r="L513" s="350">
        <v>411139</v>
      </c>
      <c r="M513" s="351" t="s">
        <v>4627</v>
      </c>
      <c r="N513" s="352" t="s">
        <v>4628</v>
      </c>
      <c r="O513" s="352" t="s">
        <v>1248</v>
      </c>
      <c r="P513" t="s">
        <v>242</v>
      </c>
    </row>
    <row r="514" spans="12:16" ht="15.9" x14ac:dyDescent="0.45">
      <c r="L514" s="350">
        <v>411140</v>
      </c>
      <c r="M514" s="351" t="s">
        <v>4629</v>
      </c>
      <c r="N514" s="352" t="s">
        <v>4630</v>
      </c>
      <c r="O514" s="352" t="s">
        <v>383</v>
      </c>
      <c r="P514" t="s">
        <v>242</v>
      </c>
    </row>
    <row r="515" spans="12:16" ht="15.9" x14ac:dyDescent="0.45">
      <c r="L515" s="350">
        <v>411240</v>
      </c>
      <c r="M515" s="351" t="s">
        <v>4631</v>
      </c>
      <c r="N515" s="352" t="s">
        <v>1249</v>
      </c>
      <c r="O515" s="352" t="s">
        <v>1250</v>
      </c>
      <c r="P515" t="s">
        <v>242</v>
      </c>
    </row>
    <row r="516" spans="12:16" ht="15.9" x14ac:dyDescent="0.45">
      <c r="L516" s="350">
        <v>411320</v>
      </c>
      <c r="M516" s="351" t="s">
        <v>4632</v>
      </c>
      <c r="N516" s="352" t="s">
        <v>3730</v>
      </c>
      <c r="O516" s="352" t="s">
        <v>1252</v>
      </c>
      <c r="P516" t="s">
        <v>242</v>
      </c>
    </row>
    <row r="517" spans="12:16" ht="15.9" x14ac:dyDescent="0.45">
      <c r="L517" s="350">
        <v>412128</v>
      </c>
      <c r="M517" s="351" t="s">
        <v>4633</v>
      </c>
      <c r="N517" s="352" t="s">
        <v>4634</v>
      </c>
      <c r="O517" s="352" t="s">
        <v>383</v>
      </c>
      <c r="P517" t="s">
        <v>242</v>
      </c>
    </row>
    <row r="518" spans="12:16" ht="15.9" x14ac:dyDescent="0.45">
      <c r="L518" s="350">
        <v>412131</v>
      </c>
      <c r="M518" s="351" t="s">
        <v>4635</v>
      </c>
      <c r="N518" s="352" t="s">
        <v>4636</v>
      </c>
      <c r="O518" s="352" t="s">
        <v>383</v>
      </c>
      <c r="P518" t="s">
        <v>242</v>
      </c>
    </row>
    <row r="519" spans="12:16" ht="15.9" x14ac:dyDescent="0.45">
      <c r="L519" s="350">
        <v>412132</v>
      </c>
      <c r="M519" s="351" t="s">
        <v>4637</v>
      </c>
      <c r="N519" s="352" t="s">
        <v>4638</v>
      </c>
      <c r="O519" s="352" t="s">
        <v>383</v>
      </c>
      <c r="P519" t="s">
        <v>242</v>
      </c>
    </row>
    <row r="520" spans="12:16" ht="15.9" x14ac:dyDescent="0.45">
      <c r="L520" s="350">
        <v>412134</v>
      </c>
      <c r="M520" s="351" t="s">
        <v>4639</v>
      </c>
      <c r="N520" s="352" t="s">
        <v>4640</v>
      </c>
      <c r="O520" s="352" t="s">
        <v>383</v>
      </c>
      <c r="P520" t="s">
        <v>242</v>
      </c>
    </row>
    <row r="521" spans="12:16" ht="15.9" x14ac:dyDescent="0.45">
      <c r="L521" s="350">
        <v>412135</v>
      </c>
      <c r="M521" s="351" t="s">
        <v>4641</v>
      </c>
      <c r="N521" s="352" t="s">
        <v>4642</v>
      </c>
      <c r="O521" s="352" t="s">
        <v>383</v>
      </c>
      <c r="P521" t="s">
        <v>242</v>
      </c>
    </row>
    <row r="522" spans="12:16" ht="15.9" x14ac:dyDescent="0.45">
      <c r="L522" s="350">
        <v>412137</v>
      </c>
      <c r="M522" s="351" t="s">
        <v>4643</v>
      </c>
      <c r="N522" s="352" t="s">
        <v>4644</v>
      </c>
      <c r="O522" s="352" t="s">
        <v>383</v>
      </c>
      <c r="P522" t="s">
        <v>242</v>
      </c>
    </row>
    <row r="523" spans="12:16" ht="15.9" x14ac:dyDescent="0.45">
      <c r="L523" s="350">
        <v>412138</v>
      </c>
      <c r="M523" s="351" t="s">
        <v>4645</v>
      </c>
      <c r="N523" s="352" t="s">
        <v>4646</v>
      </c>
      <c r="O523" s="352" t="s">
        <v>383</v>
      </c>
      <c r="P523" t="s">
        <v>242</v>
      </c>
    </row>
    <row r="524" spans="12:16" ht="15.9" x14ac:dyDescent="0.45">
      <c r="L524" s="350">
        <v>412139</v>
      </c>
      <c r="M524" s="351" t="s">
        <v>4647</v>
      </c>
      <c r="N524" s="352" t="s">
        <v>4648</v>
      </c>
      <c r="O524" s="352" t="s">
        <v>383</v>
      </c>
      <c r="P524" t="s">
        <v>242</v>
      </c>
    </row>
    <row r="525" spans="12:16" ht="15.9" x14ac:dyDescent="0.45">
      <c r="L525" s="350">
        <v>412240</v>
      </c>
      <c r="M525" s="351" t="s">
        <v>4649</v>
      </c>
      <c r="N525" s="352" t="s">
        <v>4650</v>
      </c>
      <c r="O525" s="352" t="s">
        <v>383</v>
      </c>
      <c r="P525" t="s">
        <v>242</v>
      </c>
    </row>
    <row r="526" spans="12:16" ht="15.9" x14ac:dyDescent="0.45">
      <c r="L526" s="350">
        <v>412241</v>
      </c>
      <c r="M526" s="351" t="s">
        <v>4651</v>
      </c>
      <c r="N526" s="352" t="s">
        <v>4652</v>
      </c>
      <c r="O526" s="352" t="s">
        <v>383</v>
      </c>
      <c r="P526" t="s">
        <v>242</v>
      </c>
    </row>
    <row r="527" spans="12:16" ht="15.9" x14ac:dyDescent="0.45">
      <c r="L527" s="350">
        <v>412350</v>
      </c>
      <c r="M527" s="351" t="s">
        <v>4653</v>
      </c>
      <c r="N527" s="352" t="s">
        <v>4654</v>
      </c>
      <c r="O527" s="352" t="s">
        <v>383</v>
      </c>
      <c r="P527" t="s">
        <v>242</v>
      </c>
    </row>
    <row r="528" spans="12:16" ht="15.9" x14ac:dyDescent="0.45">
      <c r="L528" s="350">
        <v>421220</v>
      </c>
      <c r="M528" s="351" t="s">
        <v>4655</v>
      </c>
      <c r="N528" s="352" t="s">
        <v>4656</v>
      </c>
      <c r="O528" s="352" t="s">
        <v>383</v>
      </c>
      <c r="P528" t="s">
        <v>242</v>
      </c>
    </row>
    <row r="529" spans="12:16" ht="15.9" x14ac:dyDescent="0.45">
      <c r="L529" s="350">
        <v>421370</v>
      </c>
      <c r="M529" s="351" t="s">
        <v>4657</v>
      </c>
      <c r="N529" s="352" t="s">
        <v>3731</v>
      </c>
      <c r="O529" s="352" t="s">
        <v>383</v>
      </c>
      <c r="P529" t="s">
        <v>242</v>
      </c>
    </row>
    <row r="530" spans="12:16" ht="15.9" x14ac:dyDescent="0.45">
      <c r="L530" s="350">
        <v>421480</v>
      </c>
      <c r="M530" s="351" t="s">
        <v>4659</v>
      </c>
      <c r="N530" s="352" t="s">
        <v>4660</v>
      </c>
      <c r="O530" s="352" t="s">
        <v>383</v>
      </c>
      <c r="P530" t="s">
        <v>242</v>
      </c>
    </row>
    <row r="531" spans="12:16" ht="15.9" x14ac:dyDescent="0.45">
      <c r="L531" s="350">
        <v>421820</v>
      </c>
      <c r="M531" s="351" t="s">
        <v>4661</v>
      </c>
      <c r="N531" s="352" t="s">
        <v>4662</v>
      </c>
      <c r="O531" s="352" t="s">
        <v>383</v>
      </c>
      <c r="P531" t="s">
        <v>242</v>
      </c>
    </row>
    <row r="532" spans="12:16" ht="15.9" x14ac:dyDescent="0.45">
      <c r="L532" s="350">
        <v>422253</v>
      </c>
      <c r="M532" s="351" t="s">
        <v>4663</v>
      </c>
      <c r="N532" s="352" t="s">
        <v>1253</v>
      </c>
      <c r="O532" s="352" t="s">
        <v>1254</v>
      </c>
      <c r="P532" t="s">
        <v>242</v>
      </c>
    </row>
    <row r="533" spans="12:16" ht="15.9" x14ac:dyDescent="0.45">
      <c r="L533" s="350">
        <v>422256</v>
      </c>
      <c r="M533" s="351" t="s">
        <v>4664</v>
      </c>
      <c r="N533" s="352" t="s">
        <v>1255</v>
      </c>
      <c r="O533" s="352" t="s">
        <v>1256</v>
      </c>
      <c r="P533" t="s">
        <v>242</v>
      </c>
    </row>
    <row r="534" spans="12:16" ht="15.9" x14ac:dyDescent="0.45">
      <c r="L534" s="350">
        <v>422257</v>
      </c>
      <c r="M534" s="351" t="s">
        <v>4665</v>
      </c>
      <c r="N534" s="352" t="s">
        <v>1257</v>
      </c>
      <c r="O534" s="352" t="s">
        <v>1258</v>
      </c>
      <c r="P534" t="s">
        <v>242</v>
      </c>
    </row>
    <row r="535" spans="12:16" ht="15.9" x14ac:dyDescent="0.45">
      <c r="L535" s="350">
        <v>422258</v>
      </c>
      <c r="M535" s="351" t="s">
        <v>4666</v>
      </c>
      <c r="N535" s="352" t="s">
        <v>1259</v>
      </c>
      <c r="O535" s="352" t="s">
        <v>1260</v>
      </c>
      <c r="P535" t="s">
        <v>242</v>
      </c>
    </row>
    <row r="536" spans="12:16" ht="15.9" x14ac:dyDescent="0.45">
      <c r="L536" s="350">
        <v>422259</v>
      </c>
      <c r="M536" s="351" t="s">
        <v>4667</v>
      </c>
      <c r="N536" s="352" t="s">
        <v>1261</v>
      </c>
      <c r="O536" s="352" t="s">
        <v>1262</v>
      </c>
      <c r="P536" t="s">
        <v>242</v>
      </c>
    </row>
    <row r="537" spans="12:16" ht="15.9" x14ac:dyDescent="0.45">
      <c r="L537" s="350">
        <v>422264</v>
      </c>
      <c r="M537" s="351" t="s">
        <v>4668</v>
      </c>
      <c r="N537" s="352" t="s">
        <v>1263</v>
      </c>
      <c r="O537" s="352" t="s">
        <v>1264</v>
      </c>
      <c r="P537" t="s">
        <v>242</v>
      </c>
    </row>
    <row r="538" spans="12:16" ht="15.9" x14ac:dyDescent="0.45">
      <c r="L538" s="350">
        <v>422265</v>
      </c>
      <c r="M538" s="351" t="s">
        <v>4669</v>
      </c>
      <c r="N538" s="352" t="s">
        <v>1265</v>
      </c>
      <c r="O538" s="352" t="s">
        <v>1266</v>
      </c>
      <c r="P538" t="s">
        <v>242</v>
      </c>
    </row>
    <row r="539" spans="12:16" ht="15.9" x14ac:dyDescent="0.45">
      <c r="L539" s="350">
        <v>422271</v>
      </c>
      <c r="M539" s="351" t="s">
        <v>4670</v>
      </c>
      <c r="N539" s="352" t="s">
        <v>1267</v>
      </c>
      <c r="O539" s="352" t="s">
        <v>1268</v>
      </c>
      <c r="P539" t="s">
        <v>242</v>
      </c>
    </row>
    <row r="540" spans="12:16" ht="15.9" x14ac:dyDescent="0.45">
      <c r="L540" s="350">
        <v>422273</v>
      </c>
      <c r="M540" s="351" t="s">
        <v>4671</v>
      </c>
      <c r="N540" s="352" t="s">
        <v>1269</v>
      </c>
      <c r="O540" s="352" t="s">
        <v>1270</v>
      </c>
      <c r="P540" t="s">
        <v>242</v>
      </c>
    </row>
    <row r="541" spans="12:16" ht="15.9" x14ac:dyDescent="0.45">
      <c r="L541" s="350">
        <v>422275</v>
      </c>
      <c r="M541" s="351" t="s">
        <v>4672</v>
      </c>
      <c r="N541" s="352" t="s">
        <v>701</v>
      </c>
      <c r="O541" s="352" t="s">
        <v>1271</v>
      </c>
      <c r="P541" t="s">
        <v>242</v>
      </c>
    </row>
    <row r="542" spans="12:16" ht="15.9" x14ac:dyDescent="0.45">
      <c r="L542" s="350">
        <v>425199</v>
      </c>
      <c r="M542" s="351" t="s">
        <v>4673</v>
      </c>
      <c r="N542" s="352" t="s">
        <v>1272</v>
      </c>
      <c r="O542" s="352" t="s">
        <v>1273</v>
      </c>
      <c r="P542" t="s">
        <v>242</v>
      </c>
    </row>
    <row r="543" spans="12:16" ht="15.9" x14ac:dyDescent="0.45">
      <c r="L543" s="350">
        <v>432283</v>
      </c>
      <c r="M543" s="351" t="s">
        <v>4674</v>
      </c>
      <c r="N543" s="352" t="s">
        <v>1274</v>
      </c>
      <c r="O543" s="352" t="s">
        <v>1275</v>
      </c>
      <c r="P543" t="s">
        <v>242</v>
      </c>
    </row>
    <row r="544" spans="12:16" ht="15.9" x14ac:dyDescent="0.45">
      <c r="L544" s="350">
        <v>441100</v>
      </c>
      <c r="M544" s="351" t="s">
        <v>4676</v>
      </c>
      <c r="N544" s="352" t="s">
        <v>4677</v>
      </c>
      <c r="O544" s="352" t="s">
        <v>383</v>
      </c>
      <c r="P544" t="s">
        <v>242</v>
      </c>
    </row>
    <row r="545" spans="12:16" ht="15.9" x14ac:dyDescent="0.45">
      <c r="L545" s="350">
        <v>441257</v>
      </c>
      <c r="M545" s="351" t="s">
        <v>4678</v>
      </c>
      <c r="N545" s="352" t="s">
        <v>1276</v>
      </c>
      <c r="O545" s="352" t="s">
        <v>1277</v>
      </c>
      <c r="P545" t="s">
        <v>242</v>
      </c>
    </row>
    <row r="546" spans="12:16" ht="15.9" x14ac:dyDescent="0.45">
      <c r="L546" s="350">
        <v>441628</v>
      </c>
      <c r="M546" s="351" t="s">
        <v>4679</v>
      </c>
      <c r="N546" s="352" t="s">
        <v>1278</v>
      </c>
      <c r="O546" s="352" t="s">
        <v>1279</v>
      </c>
      <c r="P546" t="s">
        <v>242</v>
      </c>
    </row>
    <row r="547" spans="12:16" ht="15.9" x14ac:dyDescent="0.45">
      <c r="L547" s="350">
        <v>441758</v>
      </c>
      <c r="M547" s="351" t="s">
        <v>4680</v>
      </c>
      <c r="N547" s="352" t="s">
        <v>3732</v>
      </c>
      <c r="O547" s="352" t="s">
        <v>1280</v>
      </c>
      <c r="P547" t="s">
        <v>242</v>
      </c>
    </row>
    <row r="548" spans="12:16" ht="15.9" x14ac:dyDescent="0.45">
      <c r="L548" s="350">
        <v>442257</v>
      </c>
      <c r="M548" s="351" t="s">
        <v>4681</v>
      </c>
      <c r="N548" s="352" t="s">
        <v>1281</v>
      </c>
      <c r="O548" s="352" t="s">
        <v>1282</v>
      </c>
      <c r="P548" t="s">
        <v>242</v>
      </c>
    </row>
    <row r="549" spans="12:16" ht="15.9" x14ac:dyDescent="0.45">
      <c r="L549" s="350">
        <v>442258</v>
      </c>
      <c r="M549" s="351" t="s">
        <v>2307</v>
      </c>
      <c r="N549" s="352" t="s">
        <v>3733</v>
      </c>
      <c r="O549" s="352" t="s">
        <v>1283</v>
      </c>
      <c r="P549" t="s">
        <v>242</v>
      </c>
    </row>
    <row r="550" spans="12:16" ht="15.9" x14ac:dyDescent="0.45">
      <c r="L550" s="350">
        <v>442421</v>
      </c>
      <c r="M550" s="351" t="s">
        <v>4682</v>
      </c>
      <c r="N550" s="352" t="s">
        <v>1284</v>
      </c>
      <c r="O550" s="352" t="s">
        <v>1285</v>
      </c>
      <c r="P550" t="s">
        <v>242</v>
      </c>
    </row>
    <row r="551" spans="12:16" ht="15.9" x14ac:dyDescent="0.45">
      <c r="L551" s="350">
        <v>442515</v>
      </c>
      <c r="M551" s="351" t="s">
        <v>1286</v>
      </c>
      <c r="N551" s="352" t="s">
        <v>1287</v>
      </c>
      <c r="O551" s="352" t="s">
        <v>1288</v>
      </c>
      <c r="P551" t="s">
        <v>242</v>
      </c>
    </row>
    <row r="552" spans="12:16" ht="15.9" x14ac:dyDescent="0.45">
      <c r="L552" s="350">
        <v>442621</v>
      </c>
      <c r="M552" s="351" t="s">
        <v>4683</v>
      </c>
      <c r="N552" s="352" t="s">
        <v>1290</v>
      </c>
      <c r="O552" s="352" t="s">
        <v>1291</v>
      </c>
      <c r="P552" t="s">
        <v>242</v>
      </c>
    </row>
    <row r="553" spans="12:16" ht="15.9" x14ac:dyDescent="0.45">
      <c r="L553" s="350">
        <v>442628</v>
      </c>
      <c r="M553" s="351" t="s">
        <v>4684</v>
      </c>
      <c r="N553" s="352" t="s">
        <v>3734</v>
      </c>
      <c r="O553" s="352" t="s">
        <v>1292</v>
      </c>
      <c r="P553" t="s">
        <v>242</v>
      </c>
    </row>
    <row r="554" spans="12:16" ht="15.9" x14ac:dyDescent="0.45">
      <c r="L554" s="350">
        <v>442758</v>
      </c>
      <c r="M554" s="351" t="s">
        <v>4685</v>
      </c>
      <c r="N554" s="352" t="s">
        <v>1293</v>
      </c>
      <c r="O554" s="352" t="s">
        <v>1294</v>
      </c>
      <c r="P554" t="s">
        <v>242</v>
      </c>
    </row>
    <row r="555" spans="12:16" ht="15.9" x14ac:dyDescent="0.45">
      <c r="L555" s="350">
        <v>442765</v>
      </c>
      <c r="M555" s="351" t="s">
        <v>4686</v>
      </c>
      <c r="N555" s="352" t="s">
        <v>1295</v>
      </c>
      <c r="O555" s="352" t="s">
        <v>1296</v>
      </c>
      <c r="P555" t="s">
        <v>242</v>
      </c>
    </row>
    <row r="556" spans="12:16" ht="15.9" x14ac:dyDescent="0.45">
      <c r="L556" s="350">
        <v>442768</v>
      </c>
      <c r="M556" s="351" t="s">
        <v>4687</v>
      </c>
      <c r="N556" s="352" t="s">
        <v>1297</v>
      </c>
      <c r="O556" s="352" t="s">
        <v>1298</v>
      </c>
      <c r="P556" t="s">
        <v>242</v>
      </c>
    </row>
    <row r="557" spans="12:16" ht="15.9" x14ac:dyDescent="0.45">
      <c r="L557" s="350">
        <v>442769</v>
      </c>
      <c r="M557" s="351" t="s">
        <v>4688</v>
      </c>
      <c r="N557" s="352" t="s">
        <v>1299</v>
      </c>
      <c r="O557" s="352" t="s">
        <v>1300</v>
      </c>
      <c r="P557" t="s">
        <v>242</v>
      </c>
    </row>
    <row r="558" spans="12:16" ht="15.9" x14ac:dyDescent="0.45">
      <c r="L558" s="350">
        <v>451100</v>
      </c>
      <c r="M558" s="351" t="s">
        <v>4689</v>
      </c>
      <c r="N558" s="352" t="s">
        <v>4690</v>
      </c>
      <c r="O558" s="352" t="s">
        <v>383</v>
      </c>
      <c r="P558" t="s">
        <v>242</v>
      </c>
    </row>
    <row r="559" spans="12:16" ht="15.9" x14ac:dyDescent="0.45">
      <c r="L559" s="350">
        <v>451134</v>
      </c>
      <c r="M559" s="351" t="s">
        <v>2904</v>
      </c>
      <c r="N559" s="352" t="s">
        <v>3735</v>
      </c>
      <c r="O559" s="352" t="s">
        <v>1301</v>
      </c>
      <c r="P559" t="s">
        <v>242</v>
      </c>
    </row>
    <row r="560" spans="12:16" ht="15.9" x14ac:dyDescent="0.45">
      <c r="L560" s="350">
        <v>452200</v>
      </c>
      <c r="M560" s="351" t="s">
        <v>4691</v>
      </c>
      <c r="N560" s="352" t="s">
        <v>4692</v>
      </c>
      <c r="O560" s="352" t="s">
        <v>383</v>
      </c>
      <c r="P560" t="s">
        <v>242</v>
      </c>
    </row>
    <row r="561" spans="12:16" ht="15.9" x14ac:dyDescent="0.45">
      <c r="L561" s="350">
        <v>452252</v>
      </c>
      <c r="M561" s="351" t="s">
        <v>4693</v>
      </c>
      <c r="N561" s="352" t="s">
        <v>1302</v>
      </c>
      <c r="O561" s="352" t="s">
        <v>1303</v>
      </c>
      <c r="P561" t="s">
        <v>242</v>
      </c>
    </row>
    <row r="562" spans="12:16" ht="15.9" x14ac:dyDescent="0.45">
      <c r="L562" s="350">
        <v>452255</v>
      </c>
      <c r="M562" s="351" t="s">
        <v>4694</v>
      </c>
      <c r="N562" s="352" t="s">
        <v>1304</v>
      </c>
      <c r="O562" s="352" t="s">
        <v>1305</v>
      </c>
      <c r="P562" t="s">
        <v>242</v>
      </c>
    </row>
    <row r="563" spans="12:16" ht="15.9" x14ac:dyDescent="0.45">
      <c r="L563" s="350">
        <v>452258</v>
      </c>
      <c r="M563" s="351" t="s">
        <v>4695</v>
      </c>
      <c r="N563" s="352" t="s">
        <v>4696</v>
      </c>
      <c r="O563" s="352" t="s">
        <v>1306</v>
      </c>
      <c r="P563" t="s">
        <v>242</v>
      </c>
    </row>
    <row r="564" spans="12:16" ht="15.9" x14ac:dyDescent="0.45">
      <c r="L564" s="350">
        <v>452775</v>
      </c>
      <c r="M564" s="351" t="s">
        <v>4697</v>
      </c>
      <c r="N564" s="352" t="s">
        <v>1307</v>
      </c>
      <c r="O564" s="352" t="s">
        <v>1305</v>
      </c>
      <c r="P564" t="s">
        <v>242</v>
      </c>
    </row>
    <row r="565" spans="12:16" ht="15.9" x14ac:dyDescent="0.45">
      <c r="L565" s="350">
        <v>510001</v>
      </c>
      <c r="M565" s="351" t="s">
        <v>4698</v>
      </c>
      <c r="N565" s="352" t="s">
        <v>1308</v>
      </c>
      <c r="O565" s="352" t="s">
        <v>1309</v>
      </c>
      <c r="P565" t="s">
        <v>242</v>
      </c>
    </row>
    <row r="566" spans="12:16" ht="15.9" x14ac:dyDescent="0.45">
      <c r="L566" s="350">
        <v>510125</v>
      </c>
      <c r="M566" s="351" t="s">
        <v>4699</v>
      </c>
      <c r="N566" s="352" t="s">
        <v>1310</v>
      </c>
      <c r="O566" s="352" t="s">
        <v>1311</v>
      </c>
      <c r="P566" t="s">
        <v>242</v>
      </c>
    </row>
    <row r="567" spans="12:16" ht="15.9" x14ac:dyDescent="0.45">
      <c r="L567" s="350">
        <v>510126</v>
      </c>
      <c r="M567" s="351" t="s">
        <v>4701</v>
      </c>
      <c r="N567" s="352" t="s">
        <v>1312</v>
      </c>
      <c r="O567" s="352" t="s">
        <v>1313</v>
      </c>
      <c r="P567" t="s">
        <v>242</v>
      </c>
    </row>
    <row r="568" spans="12:16" ht="15.9" x14ac:dyDescent="0.45">
      <c r="L568" s="350">
        <v>510143</v>
      </c>
      <c r="M568" s="351" t="s">
        <v>4702</v>
      </c>
      <c r="N568" s="352" t="s">
        <v>1315</v>
      </c>
      <c r="O568" s="352" t="s">
        <v>1316</v>
      </c>
      <c r="P568" t="s">
        <v>242</v>
      </c>
    </row>
    <row r="569" spans="12:16" ht="15.9" x14ac:dyDescent="0.45">
      <c r="L569" s="350">
        <v>510147</v>
      </c>
      <c r="M569" s="351" t="s">
        <v>4704</v>
      </c>
      <c r="N569" s="352" t="s">
        <v>1318</v>
      </c>
      <c r="O569" s="352" t="s">
        <v>1319</v>
      </c>
      <c r="P569" t="s">
        <v>242</v>
      </c>
    </row>
    <row r="570" spans="12:16" ht="15.9" x14ac:dyDescent="0.45">
      <c r="L570" s="350">
        <v>510148</v>
      </c>
      <c r="M570" s="351" t="s">
        <v>4706</v>
      </c>
      <c r="N570" s="352" t="s">
        <v>1321</v>
      </c>
      <c r="O570" s="352" t="s">
        <v>1322</v>
      </c>
      <c r="P570" t="s">
        <v>242</v>
      </c>
    </row>
    <row r="571" spans="12:16" ht="15.9" x14ac:dyDescent="0.45">
      <c r="L571" s="350">
        <v>510149</v>
      </c>
      <c r="M571" s="351" t="s">
        <v>4708</v>
      </c>
      <c r="N571" s="352" t="s">
        <v>1324</v>
      </c>
      <c r="O571" s="352" t="s">
        <v>1325</v>
      </c>
      <c r="P571" t="s">
        <v>242</v>
      </c>
    </row>
    <row r="572" spans="12:16" ht="15.9" x14ac:dyDescent="0.45">
      <c r="L572" s="350">
        <v>510175</v>
      </c>
      <c r="M572" s="351" t="s">
        <v>4710</v>
      </c>
      <c r="N572" s="352" t="s">
        <v>1326</v>
      </c>
      <c r="O572" s="352" t="s">
        <v>1327</v>
      </c>
      <c r="P572" t="s">
        <v>242</v>
      </c>
    </row>
    <row r="573" spans="12:16" ht="15.9" x14ac:dyDescent="0.45">
      <c r="L573" s="350">
        <v>510176</v>
      </c>
      <c r="M573" s="351" t="s">
        <v>4711</v>
      </c>
      <c r="N573" s="352" t="s">
        <v>1328</v>
      </c>
      <c r="O573" s="352" t="s">
        <v>1329</v>
      </c>
      <c r="P573" t="s">
        <v>242</v>
      </c>
    </row>
    <row r="574" spans="12:16" ht="15.9" x14ac:dyDescent="0.45">
      <c r="L574" s="350">
        <v>510212</v>
      </c>
      <c r="M574" s="351" t="s">
        <v>4712</v>
      </c>
      <c r="N574" s="352" t="s">
        <v>1331</v>
      </c>
      <c r="O574" s="352" t="s">
        <v>1332</v>
      </c>
      <c r="P574" t="s">
        <v>242</v>
      </c>
    </row>
    <row r="575" spans="12:16" ht="15.9" x14ac:dyDescent="0.45">
      <c r="L575" s="350">
        <v>510264</v>
      </c>
      <c r="M575" s="351" t="s">
        <v>4713</v>
      </c>
      <c r="N575" s="352" t="s">
        <v>1333</v>
      </c>
      <c r="O575" s="352" t="s">
        <v>1334</v>
      </c>
      <c r="P575" t="s">
        <v>242</v>
      </c>
    </row>
    <row r="576" spans="12:16" ht="15.9" x14ac:dyDescent="0.45">
      <c r="L576" s="350">
        <v>510275</v>
      </c>
      <c r="M576" s="351" t="s">
        <v>4715</v>
      </c>
      <c r="N576" s="352" t="s">
        <v>1336</v>
      </c>
      <c r="O576" s="352" t="s">
        <v>1337</v>
      </c>
      <c r="P576" t="s">
        <v>242</v>
      </c>
    </row>
    <row r="577" spans="12:16" ht="15.9" x14ac:dyDescent="0.45">
      <c r="L577" s="350">
        <v>510278</v>
      </c>
      <c r="M577" s="351" t="s">
        <v>4716</v>
      </c>
      <c r="N577" s="352" t="s">
        <v>1338</v>
      </c>
      <c r="O577" s="352" t="s">
        <v>1339</v>
      </c>
      <c r="P577" t="s">
        <v>242</v>
      </c>
    </row>
    <row r="578" spans="12:16" ht="15.9" x14ac:dyDescent="0.45">
      <c r="L578" s="350">
        <v>510342</v>
      </c>
      <c r="M578" s="351" t="s">
        <v>4717</v>
      </c>
      <c r="N578" s="352" t="s">
        <v>1340</v>
      </c>
      <c r="O578" s="352" t="s">
        <v>1341</v>
      </c>
      <c r="P578" t="s">
        <v>242</v>
      </c>
    </row>
    <row r="579" spans="12:16" ht="15.9" x14ac:dyDescent="0.45">
      <c r="L579" s="350">
        <v>510411</v>
      </c>
      <c r="M579" s="351" t="s">
        <v>4718</v>
      </c>
      <c r="N579" s="352" t="s">
        <v>3737</v>
      </c>
      <c r="O579" s="352" t="s">
        <v>1342</v>
      </c>
      <c r="P579" t="s">
        <v>242</v>
      </c>
    </row>
    <row r="580" spans="12:16" ht="15.9" x14ac:dyDescent="0.45">
      <c r="L580" s="350">
        <v>510672</v>
      </c>
      <c r="M580" s="351" t="s">
        <v>4719</v>
      </c>
      <c r="N580" s="352" t="s">
        <v>1344</v>
      </c>
      <c r="O580" s="352" t="s">
        <v>1341</v>
      </c>
      <c r="P580" t="s">
        <v>242</v>
      </c>
    </row>
    <row r="581" spans="12:16" ht="15.9" x14ac:dyDescent="0.45">
      <c r="L581" s="350">
        <v>510712</v>
      </c>
      <c r="M581" s="351" t="s">
        <v>4720</v>
      </c>
      <c r="N581" s="352" t="s">
        <v>1345</v>
      </c>
      <c r="O581" s="352" t="s">
        <v>1346</v>
      </c>
      <c r="P581" t="s">
        <v>242</v>
      </c>
    </row>
    <row r="582" spans="12:16" ht="15.9" x14ac:dyDescent="0.45">
      <c r="L582" s="350">
        <v>510915</v>
      </c>
      <c r="M582" s="351" t="s">
        <v>4721</v>
      </c>
      <c r="N582" s="352" t="s">
        <v>4722</v>
      </c>
      <c r="O582" s="352" t="s">
        <v>1348</v>
      </c>
      <c r="P582" t="s">
        <v>242</v>
      </c>
    </row>
    <row r="583" spans="12:16" ht="15.9" x14ac:dyDescent="0.45">
      <c r="L583" s="350">
        <v>530155</v>
      </c>
      <c r="M583" s="351" t="s">
        <v>4724</v>
      </c>
      <c r="N583" s="352" t="s">
        <v>1349</v>
      </c>
      <c r="O583" s="352" t="s">
        <v>1350</v>
      </c>
      <c r="P583" t="s">
        <v>242</v>
      </c>
    </row>
    <row r="584" spans="12:16" ht="15.9" x14ac:dyDescent="0.45">
      <c r="L584" s="350">
        <v>530156</v>
      </c>
      <c r="M584" s="351" t="s">
        <v>4725</v>
      </c>
      <c r="N584" s="352" t="s">
        <v>1351</v>
      </c>
      <c r="O584" s="352" t="s">
        <v>1352</v>
      </c>
      <c r="P584" t="s">
        <v>242</v>
      </c>
    </row>
    <row r="585" spans="12:16" ht="15.9" x14ac:dyDescent="0.45">
      <c r="L585" s="350">
        <v>530411</v>
      </c>
      <c r="M585" s="351" t="s">
        <v>4726</v>
      </c>
      <c r="N585" s="352" t="s">
        <v>1353</v>
      </c>
      <c r="O585" s="352" t="s">
        <v>1354</v>
      </c>
      <c r="P585" t="s">
        <v>242</v>
      </c>
    </row>
    <row r="586" spans="12:16" ht="15.9" x14ac:dyDescent="0.45">
      <c r="L586" s="350">
        <v>530412</v>
      </c>
      <c r="M586" s="351" t="s">
        <v>4727</v>
      </c>
      <c r="N586" s="352" t="s">
        <v>1355</v>
      </c>
      <c r="O586" s="352" t="s">
        <v>1356</v>
      </c>
      <c r="P586" t="s">
        <v>242</v>
      </c>
    </row>
    <row r="587" spans="12:16" ht="15.9" x14ac:dyDescent="0.45">
      <c r="L587" s="350">
        <v>530511</v>
      </c>
      <c r="M587" s="351" t="s">
        <v>4728</v>
      </c>
      <c r="N587" s="352" t="s">
        <v>1357</v>
      </c>
      <c r="O587" s="352" t="s">
        <v>1358</v>
      </c>
      <c r="P587" t="s">
        <v>242</v>
      </c>
    </row>
    <row r="588" spans="12:16" ht="15.9" x14ac:dyDescent="0.45">
      <c r="L588" s="350">
        <v>530602</v>
      </c>
      <c r="M588" s="351" t="s">
        <v>4729</v>
      </c>
      <c r="N588" s="352" t="s">
        <v>1359</v>
      </c>
      <c r="O588" s="352" t="s">
        <v>1360</v>
      </c>
      <c r="P588" t="s">
        <v>242</v>
      </c>
    </row>
    <row r="589" spans="12:16" ht="15.9" x14ac:dyDescent="0.45">
      <c r="L589" s="350">
        <v>530634</v>
      </c>
      <c r="M589" s="351" t="s">
        <v>4731</v>
      </c>
      <c r="N589" s="352" t="s">
        <v>1361</v>
      </c>
      <c r="O589" s="352" t="s">
        <v>1362</v>
      </c>
      <c r="P589" t="s">
        <v>242</v>
      </c>
    </row>
    <row r="590" spans="12:16" ht="15.9" x14ac:dyDescent="0.45">
      <c r="L590" s="350">
        <v>530800</v>
      </c>
      <c r="M590" s="351" t="s">
        <v>4733</v>
      </c>
      <c r="N590" s="352" t="s">
        <v>4734</v>
      </c>
      <c r="O590" s="352" t="s">
        <v>383</v>
      </c>
      <c r="P590" t="s">
        <v>242</v>
      </c>
    </row>
    <row r="591" spans="12:16" ht="15.9" x14ac:dyDescent="0.45">
      <c r="L591" s="350">
        <v>540242</v>
      </c>
      <c r="M591" s="351" t="s">
        <v>4735</v>
      </c>
      <c r="N591" s="352" t="s">
        <v>1363</v>
      </c>
      <c r="O591" s="352" t="s">
        <v>1364</v>
      </c>
      <c r="P591" t="s">
        <v>242</v>
      </c>
    </row>
    <row r="592" spans="12:16" ht="15.9" x14ac:dyDescent="0.45">
      <c r="L592" s="350">
        <v>540243</v>
      </c>
      <c r="M592" s="351" t="s">
        <v>4736</v>
      </c>
      <c r="N592" s="352" t="s">
        <v>1365</v>
      </c>
      <c r="O592" s="352" t="s">
        <v>1366</v>
      </c>
      <c r="P592" t="s">
        <v>242</v>
      </c>
    </row>
    <row r="593" spans="12:16" ht="15.9" x14ac:dyDescent="0.45">
      <c r="L593" s="350">
        <v>550101</v>
      </c>
      <c r="M593" s="351" t="s">
        <v>4738</v>
      </c>
      <c r="N593" s="352" t="s">
        <v>1367</v>
      </c>
      <c r="O593" s="352" t="s">
        <v>1368</v>
      </c>
      <c r="P593" t="s">
        <v>242</v>
      </c>
    </row>
    <row r="594" spans="12:16" ht="15.9" x14ac:dyDescent="0.45">
      <c r="L594" s="350">
        <v>550145</v>
      </c>
      <c r="M594" s="351" t="s">
        <v>4739</v>
      </c>
      <c r="N594" s="352" t="s">
        <v>1369</v>
      </c>
      <c r="O594" s="352" t="s">
        <v>1370</v>
      </c>
      <c r="P594" t="s">
        <v>242</v>
      </c>
    </row>
    <row r="595" spans="12:16" ht="15.9" x14ac:dyDescent="0.45">
      <c r="L595" s="350">
        <v>550147</v>
      </c>
      <c r="M595" s="351" t="s">
        <v>4740</v>
      </c>
      <c r="N595" s="352" t="s">
        <v>1371</v>
      </c>
      <c r="O595" s="352" t="s">
        <v>1372</v>
      </c>
      <c r="P595" t="s">
        <v>242</v>
      </c>
    </row>
    <row r="596" spans="12:16" ht="15.9" x14ac:dyDescent="0.45">
      <c r="L596" s="350">
        <v>610100</v>
      </c>
      <c r="M596" s="351" t="s">
        <v>4741</v>
      </c>
      <c r="N596" s="352" t="s">
        <v>4742</v>
      </c>
      <c r="O596" s="352" t="s">
        <v>612</v>
      </c>
      <c r="P596" t="s">
        <v>242</v>
      </c>
    </row>
    <row r="597" spans="12:16" ht="15.9" x14ac:dyDescent="0.45">
      <c r="L597" s="350">
        <v>610111</v>
      </c>
      <c r="M597" s="351" t="s">
        <v>299</v>
      </c>
      <c r="N597" s="352" t="s">
        <v>1373</v>
      </c>
      <c r="O597" s="352" t="s">
        <v>1374</v>
      </c>
      <c r="P597" t="s">
        <v>242</v>
      </c>
    </row>
    <row r="598" spans="12:16" ht="15.9" x14ac:dyDescent="0.45">
      <c r="L598" s="350">
        <v>610112</v>
      </c>
      <c r="M598" s="351" t="s">
        <v>4744</v>
      </c>
      <c r="N598" s="352" t="s">
        <v>1376</v>
      </c>
      <c r="O598" s="352" t="s">
        <v>1377</v>
      </c>
      <c r="P598" t="s">
        <v>242</v>
      </c>
    </row>
    <row r="599" spans="12:16" ht="15.9" x14ac:dyDescent="0.45">
      <c r="L599" s="350">
        <v>610119</v>
      </c>
      <c r="M599" s="351" t="s">
        <v>4746</v>
      </c>
      <c r="N599" s="352" t="s">
        <v>1378</v>
      </c>
      <c r="O599" s="352" t="s">
        <v>1379</v>
      </c>
      <c r="P599" t="s">
        <v>242</v>
      </c>
    </row>
    <row r="600" spans="12:16" ht="15.9" x14ac:dyDescent="0.45">
      <c r="L600" s="350">
        <v>610121</v>
      </c>
      <c r="M600" s="351" t="s">
        <v>4747</v>
      </c>
      <c r="N600" s="352" t="s">
        <v>5403</v>
      </c>
      <c r="O600" s="352" t="s">
        <v>1380</v>
      </c>
      <c r="P600" t="s">
        <v>242</v>
      </c>
    </row>
    <row r="601" spans="12:16" ht="15.9" x14ac:dyDescent="0.45">
      <c r="L601" s="350">
        <v>610122</v>
      </c>
      <c r="M601" s="351" t="s">
        <v>4750</v>
      </c>
      <c r="N601" s="352" t="s">
        <v>1381</v>
      </c>
      <c r="O601" s="352" t="s">
        <v>1382</v>
      </c>
      <c r="P601" t="s">
        <v>242</v>
      </c>
    </row>
    <row r="602" spans="12:16" ht="15.9" x14ac:dyDescent="0.45">
      <c r="L602" s="350">
        <v>610123</v>
      </c>
      <c r="M602" s="351" t="s">
        <v>4751</v>
      </c>
      <c r="N602" s="352" t="s">
        <v>1383</v>
      </c>
      <c r="O602" s="352" t="s">
        <v>1384</v>
      </c>
      <c r="P602" t="s">
        <v>242</v>
      </c>
    </row>
    <row r="603" spans="12:16" ht="15.9" x14ac:dyDescent="0.45">
      <c r="L603" s="350">
        <v>610124</v>
      </c>
      <c r="M603" s="351" t="s">
        <v>4752</v>
      </c>
      <c r="N603" s="352" t="s">
        <v>4753</v>
      </c>
      <c r="O603" s="352" t="s">
        <v>3739</v>
      </c>
      <c r="P603" t="s">
        <v>242</v>
      </c>
    </row>
    <row r="604" spans="12:16" ht="15.9" x14ac:dyDescent="0.45">
      <c r="L604" s="350">
        <v>610125</v>
      </c>
      <c r="M604" s="351" t="s">
        <v>4755</v>
      </c>
      <c r="N604" s="352" t="s">
        <v>1385</v>
      </c>
      <c r="O604" s="352" t="s">
        <v>1386</v>
      </c>
      <c r="P604" t="s">
        <v>242</v>
      </c>
    </row>
    <row r="605" spans="12:16" ht="15.9" x14ac:dyDescent="0.45">
      <c r="L605" s="350">
        <v>610127</v>
      </c>
      <c r="M605" s="351" t="s">
        <v>4756</v>
      </c>
      <c r="N605" s="352" t="s">
        <v>4757</v>
      </c>
      <c r="O605" s="352" t="s">
        <v>1387</v>
      </c>
      <c r="P605" t="s">
        <v>242</v>
      </c>
    </row>
    <row r="606" spans="12:16" ht="15.9" x14ac:dyDescent="0.45">
      <c r="L606" s="350">
        <v>610128</v>
      </c>
      <c r="M606" s="351" t="s">
        <v>4758</v>
      </c>
      <c r="N606" s="352" t="s">
        <v>1388</v>
      </c>
      <c r="O606" s="352" t="s">
        <v>1389</v>
      </c>
      <c r="P606" t="s">
        <v>242</v>
      </c>
    </row>
    <row r="607" spans="12:16" ht="15.9" x14ac:dyDescent="0.45">
      <c r="L607" s="350">
        <v>610129</v>
      </c>
      <c r="M607" s="351" t="s">
        <v>4760</v>
      </c>
      <c r="N607" s="352" t="s">
        <v>3740</v>
      </c>
      <c r="O607" s="352" t="s">
        <v>1390</v>
      </c>
      <c r="P607" t="s">
        <v>242</v>
      </c>
    </row>
    <row r="608" spans="12:16" ht="15.9" x14ac:dyDescent="0.45">
      <c r="L608" s="350">
        <v>610142</v>
      </c>
      <c r="M608" s="351" t="s">
        <v>4761</v>
      </c>
      <c r="N608" s="352" t="s">
        <v>1391</v>
      </c>
      <c r="O608" s="352" t="s">
        <v>1392</v>
      </c>
      <c r="P608" t="s">
        <v>242</v>
      </c>
    </row>
    <row r="609" spans="12:16" ht="15.9" x14ac:dyDescent="0.45">
      <c r="L609" s="350">
        <v>610144</v>
      </c>
      <c r="M609" s="351" t="s">
        <v>4763</v>
      </c>
      <c r="N609" s="352" t="s">
        <v>1393</v>
      </c>
      <c r="O609" s="352" t="s">
        <v>1394</v>
      </c>
      <c r="P609" t="s">
        <v>242</v>
      </c>
    </row>
    <row r="610" spans="12:16" ht="15.9" x14ac:dyDescent="0.45">
      <c r="L610" s="350">
        <v>610241</v>
      </c>
      <c r="M610" s="351" t="s">
        <v>4764</v>
      </c>
      <c r="N610" s="352" t="s">
        <v>1395</v>
      </c>
      <c r="O610" s="352" t="s">
        <v>1396</v>
      </c>
      <c r="P610" t="s">
        <v>242</v>
      </c>
    </row>
    <row r="611" spans="12:16" ht="15.9" x14ac:dyDescent="0.45">
      <c r="L611" s="350">
        <v>610243</v>
      </c>
      <c r="M611" s="351" t="s">
        <v>4765</v>
      </c>
      <c r="N611" s="352" t="s">
        <v>5404</v>
      </c>
      <c r="O611" s="352" t="s">
        <v>1397</v>
      </c>
      <c r="P611" t="s">
        <v>242</v>
      </c>
    </row>
    <row r="612" spans="12:16" ht="15.9" x14ac:dyDescent="0.45">
      <c r="L612" s="350">
        <v>610249</v>
      </c>
      <c r="M612" s="351" t="s">
        <v>4767</v>
      </c>
      <c r="N612" s="352" t="s">
        <v>5405</v>
      </c>
      <c r="O612" s="352" t="s">
        <v>1398</v>
      </c>
      <c r="P612" t="s">
        <v>242</v>
      </c>
    </row>
    <row r="613" spans="12:16" ht="15.9" x14ac:dyDescent="0.45">
      <c r="L613" s="350">
        <v>610281</v>
      </c>
      <c r="M613" s="351" t="s">
        <v>4769</v>
      </c>
      <c r="N613" s="352" t="s">
        <v>5406</v>
      </c>
      <c r="O613" s="352" t="s">
        <v>1400</v>
      </c>
      <c r="P613" t="s">
        <v>242</v>
      </c>
    </row>
    <row r="614" spans="12:16" ht="15.9" x14ac:dyDescent="0.45">
      <c r="L614" s="350">
        <v>610282</v>
      </c>
      <c r="M614" s="351" t="s">
        <v>4770</v>
      </c>
      <c r="N614" s="352" t="s">
        <v>5407</v>
      </c>
      <c r="O614" s="352" t="s">
        <v>1401</v>
      </c>
      <c r="P614" t="s">
        <v>242</v>
      </c>
    </row>
    <row r="615" spans="12:16" ht="15.9" x14ac:dyDescent="0.45">
      <c r="L615" s="350">
        <v>610284</v>
      </c>
      <c r="M615" s="351" t="s">
        <v>4773</v>
      </c>
      <c r="N615" s="352" t="s">
        <v>4775</v>
      </c>
      <c r="O615" s="352" t="s">
        <v>1402</v>
      </c>
      <c r="P615" t="s">
        <v>242</v>
      </c>
    </row>
    <row r="616" spans="12:16" ht="15.9" x14ac:dyDescent="0.45">
      <c r="L616" s="350">
        <v>610285</v>
      </c>
      <c r="M616" s="351" t="s">
        <v>4776</v>
      </c>
      <c r="N616" s="352" t="s">
        <v>1403</v>
      </c>
      <c r="O616" s="352" t="s">
        <v>1404</v>
      </c>
      <c r="P616" t="s">
        <v>242</v>
      </c>
    </row>
    <row r="617" spans="12:16" ht="15.9" x14ac:dyDescent="0.45">
      <c r="L617" s="350">
        <v>610286</v>
      </c>
      <c r="M617" s="351" t="s">
        <v>4777</v>
      </c>
      <c r="N617" s="352" t="s">
        <v>5408</v>
      </c>
      <c r="O617" s="352" t="s">
        <v>1406</v>
      </c>
      <c r="P617" t="s">
        <v>242</v>
      </c>
    </row>
    <row r="618" spans="12:16" ht="15.9" x14ac:dyDescent="0.45">
      <c r="L618" s="350">
        <v>610287</v>
      </c>
      <c r="M618" s="351" t="s">
        <v>4778</v>
      </c>
      <c r="N618" s="352" t="s">
        <v>4779</v>
      </c>
      <c r="O618" s="352" t="s">
        <v>1407</v>
      </c>
      <c r="P618" t="s">
        <v>242</v>
      </c>
    </row>
    <row r="619" spans="12:16" ht="15.9" x14ac:dyDescent="0.45">
      <c r="L619" s="350">
        <v>610311</v>
      </c>
      <c r="M619" s="351" t="s">
        <v>4780</v>
      </c>
      <c r="N619" s="352" t="s">
        <v>1408</v>
      </c>
      <c r="O619" s="352" t="s">
        <v>1409</v>
      </c>
      <c r="P619" t="s">
        <v>242</v>
      </c>
    </row>
    <row r="620" spans="12:16" ht="15.9" x14ac:dyDescent="0.45">
      <c r="L620" s="350">
        <v>610332</v>
      </c>
      <c r="M620" s="351" t="s">
        <v>4781</v>
      </c>
      <c r="N620" s="352" t="s">
        <v>5409</v>
      </c>
      <c r="O620" s="352" t="s">
        <v>1411</v>
      </c>
      <c r="P620" t="s">
        <v>242</v>
      </c>
    </row>
    <row r="621" spans="12:16" ht="15.9" x14ac:dyDescent="0.45">
      <c r="L621" s="350">
        <v>610675</v>
      </c>
      <c r="M621" s="351" t="s">
        <v>4782</v>
      </c>
      <c r="N621" s="352" t="s">
        <v>5410</v>
      </c>
      <c r="O621" s="352" t="s">
        <v>1413</v>
      </c>
      <c r="P621" t="s">
        <v>242</v>
      </c>
    </row>
    <row r="622" spans="12:16" ht="15.9" x14ac:dyDescent="0.45">
      <c r="L622" s="350">
        <v>610711</v>
      </c>
      <c r="M622" s="351" t="s">
        <v>4783</v>
      </c>
      <c r="N622" s="352" t="s">
        <v>5411</v>
      </c>
      <c r="O622" s="352" t="s">
        <v>1415</v>
      </c>
      <c r="P622" t="s">
        <v>242</v>
      </c>
    </row>
    <row r="623" spans="12:16" ht="15.9" x14ac:dyDescent="0.45">
      <c r="L623" s="350">
        <v>610717</v>
      </c>
      <c r="M623" s="351" t="s">
        <v>4784</v>
      </c>
      <c r="N623" s="371" t="s">
        <v>5412</v>
      </c>
      <c r="O623" s="372" t="s">
        <v>1417</v>
      </c>
      <c r="P623" t="s">
        <v>242</v>
      </c>
    </row>
    <row r="624" spans="12:16" ht="15.9" x14ac:dyDescent="0.45">
      <c r="L624" s="350">
        <v>610718</v>
      </c>
      <c r="M624" s="351" t="s">
        <v>4785</v>
      </c>
      <c r="N624" s="371" t="s">
        <v>5413</v>
      </c>
      <c r="O624" s="372" t="s">
        <v>1419</v>
      </c>
      <c r="P624" t="s">
        <v>242</v>
      </c>
    </row>
    <row r="625" spans="12:16" ht="15.9" x14ac:dyDescent="0.45">
      <c r="L625" s="350">
        <v>610760</v>
      </c>
      <c r="M625" s="351" t="s">
        <v>4786</v>
      </c>
      <c r="N625" s="352" t="s">
        <v>5414</v>
      </c>
      <c r="O625" s="352" t="s">
        <v>383</v>
      </c>
      <c r="P625" t="s">
        <v>242</v>
      </c>
    </row>
    <row r="626" spans="12:16" ht="15.9" x14ac:dyDescent="0.45">
      <c r="L626" s="350">
        <v>610811</v>
      </c>
      <c r="M626" s="351" t="s">
        <v>4788</v>
      </c>
      <c r="N626" s="352" t="s">
        <v>1420</v>
      </c>
      <c r="O626" s="352" t="s">
        <v>1421</v>
      </c>
      <c r="P626" t="s">
        <v>242</v>
      </c>
    </row>
    <row r="627" spans="12:16" ht="15.9" x14ac:dyDescent="0.45">
      <c r="L627" s="350">
        <v>610911</v>
      </c>
      <c r="M627" s="351" t="s">
        <v>4789</v>
      </c>
      <c r="N627" s="352" t="s">
        <v>5415</v>
      </c>
      <c r="O627" s="352" t="s">
        <v>3741</v>
      </c>
      <c r="P627" t="s">
        <v>242</v>
      </c>
    </row>
    <row r="628" spans="12:16" ht="15.9" x14ac:dyDescent="0.45">
      <c r="L628" s="350">
        <v>610913</v>
      </c>
      <c r="M628" s="351" t="s">
        <v>4791</v>
      </c>
      <c r="N628" s="352" t="s">
        <v>5416</v>
      </c>
      <c r="O628" s="479" t="s">
        <v>5497</v>
      </c>
      <c r="P628" t="s">
        <v>242</v>
      </c>
    </row>
    <row r="629" spans="12:16" ht="15.9" x14ac:dyDescent="0.45">
      <c r="L629" s="350">
        <v>610915</v>
      </c>
      <c r="M629" s="351" t="s">
        <v>4794</v>
      </c>
      <c r="N629" s="352" t="s">
        <v>4795</v>
      </c>
      <c r="O629" s="352" t="s">
        <v>1422</v>
      </c>
      <c r="P629" t="s">
        <v>242</v>
      </c>
    </row>
    <row r="630" spans="12:16" ht="15.9" x14ac:dyDescent="0.45">
      <c r="L630" s="350">
        <v>610916</v>
      </c>
      <c r="M630" s="351" t="s">
        <v>4797</v>
      </c>
      <c r="N630" s="352" t="s">
        <v>4798</v>
      </c>
      <c r="O630" s="352" t="s">
        <v>383</v>
      </c>
      <c r="P630" t="s">
        <v>242</v>
      </c>
    </row>
    <row r="631" spans="12:16" ht="15.9" x14ac:dyDescent="0.45">
      <c r="L631" s="350">
        <v>620099</v>
      </c>
      <c r="M631" s="351" t="s">
        <v>4799</v>
      </c>
      <c r="N631" s="352" t="s">
        <v>1423</v>
      </c>
      <c r="O631" s="352" t="s">
        <v>1424</v>
      </c>
      <c r="P631" t="s">
        <v>242</v>
      </c>
    </row>
    <row r="632" spans="12:16" ht="15.9" x14ac:dyDescent="0.45">
      <c r="L632" s="350">
        <v>690252</v>
      </c>
      <c r="M632" s="351" t="s">
        <v>4800</v>
      </c>
      <c r="N632" s="352" t="s">
        <v>1426</v>
      </c>
      <c r="O632" s="352" t="s">
        <v>1427</v>
      </c>
      <c r="P632" t="s">
        <v>242</v>
      </c>
    </row>
    <row r="633" spans="12:16" ht="15.9" x14ac:dyDescent="0.45">
      <c r="L633" s="350">
        <v>690432</v>
      </c>
      <c r="M633" s="351" t="s">
        <v>4802</v>
      </c>
      <c r="N633" s="352" t="s">
        <v>1428</v>
      </c>
      <c r="O633" s="352" t="s">
        <v>1429</v>
      </c>
      <c r="P633" t="s">
        <v>242</v>
      </c>
    </row>
    <row r="634" spans="12:16" ht="15.9" x14ac:dyDescent="0.45">
      <c r="L634" s="350">
        <v>690625</v>
      </c>
      <c r="M634" s="351" t="s">
        <v>4803</v>
      </c>
      <c r="N634" s="352" t="s">
        <v>1430</v>
      </c>
      <c r="O634" s="352" t="s">
        <v>1431</v>
      </c>
      <c r="P634" t="s">
        <v>242</v>
      </c>
    </row>
    <row r="635" spans="12:16" ht="15.9" x14ac:dyDescent="0.45">
      <c r="L635" s="350">
        <v>690792</v>
      </c>
      <c r="M635" s="351" t="s">
        <v>4805</v>
      </c>
      <c r="N635" s="352" t="s">
        <v>1432</v>
      </c>
      <c r="O635" s="352" t="s">
        <v>1433</v>
      </c>
      <c r="P635" t="s">
        <v>242</v>
      </c>
    </row>
    <row r="636" spans="12:16" ht="15.9" x14ac:dyDescent="0.45">
      <c r="L636" s="350">
        <v>690795</v>
      </c>
      <c r="M636" s="351" t="s">
        <v>4807</v>
      </c>
      <c r="N636" s="352" t="s">
        <v>4808</v>
      </c>
      <c r="O636" s="352" t="s">
        <v>1434</v>
      </c>
      <c r="P636" t="s">
        <v>242</v>
      </c>
    </row>
    <row r="637" spans="12:16" ht="15.9" x14ac:dyDescent="0.45">
      <c r="L637" s="350">
        <v>690798</v>
      </c>
      <c r="M637" s="351" t="s">
        <v>4809</v>
      </c>
      <c r="N637" s="352" t="s">
        <v>5417</v>
      </c>
      <c r="O637" s="352" t="s">
        <v>1436</v>
      </c>
      <c r="P637" t="s">
        <v>242</v>
      </c>
    </row>
    <row r="638" spans="12:16" ht="15.9" x14ac:dyDescent="0.45">
      <c r="L638" s="350">
        <v>711111</v>
      </c>
      <c r="M638" s="351" t="s">
        <v>4810</v>
      </c>
      <c r="N638" s="352" t="s">
        <v>1437</v>
      </c>
      <c r="O638" s="352" t="s">
        <v>1438</v>
      </c>
      <c r="P638" t="s">
        <v>242</v>
      </c>
    </row>
    <row r="639" spans="12:16" ht="15.9" x14ac:dyDescent="0.45">
      <c r="L639" s="350">
        <v>711121</v>
      </c>
      <c r="M639" s="351" t="s">
        <v>4811</v>
      </c>
      <c r="N639" s="352" t="s">
        <v>1439</v>
      </c>
      <c r="O639" s="352" t="s">
        <v>1440</v>
      </c>
      <c r="P639" t="s">
        <v>242</v>
      </c>
    </row>
    <row r="640" spans="12:16" ht="15.9" x14ac:dyDescent="0.45">
      <c r="L640" s="350">
        <v>711131</v>
      </c>
      <c r="M640" s="351" t="s">
        <v>4812</v>
      </c>
      <c r="N640" s="352" t="s">
        <v>1441</v>
      </c>
      <c r="O640" s="352" t="s">
        <v>1442</v>
      </c>
      <c r="P640" t="s">
        <v>242</v>
      </c>
    </row>
    <row r="641" spans="12:16" ht="15.9" x14ac:dyDescent="0.45">
      <c r="L641" s="350">
        <v>711142</v>
      </c>
      <c r="M641" s="351" t="s">
        <v>4813</v>
      </c>
      <c r="N641" s="352" t="s">
        <v>1443</v>
      </c>
      <c r="O641" s="352" t="s">
        <v>1444</v>
      </c>
      <c r="P641" t="s">
        <v>242</v>
      </c>
    </row>
    <row r="642" spans="12:16" ht="15.9" x14ac:dyDescent="0.45">
      <c r="L642" s="350">
        <v>711143</v>
      </c>
      <c r="M642" s="351" t="s">
        <v>4814</v>
      </c>
      <c r="N642" s="352" t="s">
        <v>1445</v>
      </c>
      <c r="O642" s="352" t="s">
        <v>1446</v>
      </c>
      <c r="P642" t="s">
        <v>242</v>
      </c>
    </row>
    <row r="643" spans="12:16" ht="15.9" x14ac:dyDescent="0.45">
      <c r="L643" s="350">
        <v>711144</v>
      </c>
      <c r="M643" s="351" t="s">
        <v>4815</v>
      </c>
      <c r="N643" s="352" t="s">
        <v>1447</v>
      </c>
      <c r="O643" s="352" t="s">
        <v>1448</v>
      </c>
      <c r="P643" t="s">
        <v>242</v>
      </c>
    </row>
    <row r="644" spans="12:16" ht="15.9" x14ac:dyDescent="0.45">
      <c r="L644" s="350">
        <v>711151</v>
      </c>
      <c r="M644" s="351" t="s">
        <v>4816</v>
      </c>
      <c r="N644" s="352" t="s">
        <v>5418</v>
      </c>
      <c r="O644" s="352" t="s">
        <v>1450</v>
      </c>
      <c r="P644" t="s">
        <v>242</v>
      </c>
    </row>
    <row r="645" spans="12:16" ht="15.9" x14ac:dyDescent="0.45">
      <c r="L645" s="350">
        <v>711161</v>
      </c>
      <c r="M645" s="351" t="s">
        <v>4817</v>
      </c>
      <c r="N645" s="352" t="s">
        <v>1451</v>
      </c>
      <c r="O645" s="352" t="s">
        <v>1452</v>
      </c>
      <c r="P645" t="s">
        <v>242</v>
      </c>
    </row>
    <row r="646" spans="12:16" ht="15.9" x14ac:dyDescent="0.45">
      <c r="L646" s="350">
        <v>711171</v>
      </c>
      <c r="M646" s="351" t="s">
        <v>4819</v>
      </c>
      <c r="N646" s="352" t="s">
        <v>1453</v>
      </c>
      <c r="O646" s="352" t="s">
        <v>1454</v>
      </c>
      <c r="P646" t="s">
        <v>242</v>
      </c>
    </row>
    <row r="647" spans="12:16" ht="15.9" x14ac:dyDescent="0.45">
      <c r="L647" s="350">
        <v>711181</v>
      </c>
      <c r="M647" s="351" t="s">
        <v>4821</v>
      </c>
      <c r="N647" s="352" t="s">
        <v>1455</v>
      </c>
      <c r="O647" s="352" t="s">
        <v>1456</v>
      </c>
      <c r="P647" t="s">
        <v>242</v>
      </c>
    </row>
    <row r="648" spans="12:16" ht="15.9" x14ac:dyDescent="0.45">
      <c r="L648" s="350">
        <v>711191</v>
      </c>
      <c r="M648" s="351" t="s">
        <v>4822</v>
      </c>
      <c r="N648" s="352" t="s">
        <v>1457</v>
      </c>
      <c r="O648" s="352" t="s">
        <v>1458</v>
      </c>
      <c r="P648" t="s">
        <v>242</v>
      </c>
    </row>
    <row r="649" spans="12:16" ht="15.9" x14ac:dyDescent="0.45">
      <c r="L649" s="350">
        <v>711211</v>
      </c>
      <c r="M649" s="351" t="s">
        <v>4824</v>
      </c>
      <c r="N649" s="352" t="s">
        <v>5419</v>
      </c>
      <c r="O649" s="352" t="s">
        <v>1460</v>
      </c>
      <c r="P649" t="s">
        <v>242</v>
      </c>
    </row>
    <row r="650" spans="12:16" ht="15.9" x14ac:dyDescent="0.45">
      <c r="L650" s="350">
        <v>711221</v>
      </c>
      <c r="M650" s="351" t="s">
        <v>4825</v>
      </c>
      <c r="N650" s="352" t="s">
        <v>1461</v>
      </c>
      <c r="O650" s="352" t="s">
        <v>1462</v>
      </c>
      <c r="P650" t="s">
        <v>242</v>
      </c>
    </row>
    <row r="651" spans="12:16" ht="15.9" x14ac:dyDescent="0.45">
      <c r="L651" s="350">
        <v>711231</v>
      </c>
      <c r="M651" s="351" t="s">
        <v>4826</v>
      </c>
      <c r="N651" s="352" t="s">
        <v>5420</v>
      </c>
      <c r="O651" s="352" t="s">
        <v>1464</v>
      </c>
      <c r="P651" t="s">
        <v>242</v>
      </c>
    </row>
    <row r="652" spans="12:16" ht="15.9" x14ac:dyDescent="0.45">
      <c r="L652" s="350">
        <v>711311</v>
      </c>
      <c r="M652" s="351" t="s">
        <v>4828</v>
      </c>
      <c r="N652" s="352" t="s">
        <v>1465</v>
      </c>
      <c r="O652" s="352" t="s">
        <v>1466</v>
      </c>
      <c r="P652" t="s">
        <v>242</v>
      </c>
    </row>
    <row r="653" spans="12:16" ht="15.9" x14ac:dyDescent="0.45">
      <c r="L653" s="350">
        <v>711312</v>
      </c>
      <c r="M653" s="351" t="s">
        <v>4829</v>
      </c>
      <c r="N653" s="352" t="s">
        <v>4830</v>
      </c>
      <c r="O653" s="352" t="s">
        <v>1467</v>
      </c>
      <c r="P653" t="s">
        <v>242</v>
      </c>
    </row>
    <row r="654" spans="12:16" ht="15.9" x14ac:dyDescent="0.45">
      <c r="L654" s="350">
        <v>711560</v>
      </c>
      <c r="M654" s="351" t="s">
        <v>4831</v>
      </c>
      <c r="N654" s="352" t="s">
        <v>5421</v>
      </c>
      <c r="O654" s="352" t="s">
        <v>383</v>
      </c>
      <c r="P654" t="s">
        <v>242</v>
      </c>
    </row>
    <row r="655" spans="12:16" ht="15.9" x14ac:dyDescent="0.45">
      <c r="L655" s="350">
        <v>713352</v>
      </c>
      <c r="M655" s="351" t="s">
        <v>4833</v>
      </c>
      <c r="N655" s="352" t="s">
        <v>1468</v>
      </c>
      <c r="O655" s="352" t="s">
        <v>1469</v>
      </c>
      <c r="P655" t="s">
        <v>242</v>
      </c>
    </row>
    <row r="656" spans="12:16" ht="15.9" x14ac:dyDescent="0.45">
      <c r="L656" s="350">
        <v>713366</v>
      </c>
      <c r="M656" s="351" t="s">
        <v>4834</v>
      </c>
      <c r="N656" s="352" t="s">
        <v>1470</v>
      </c>
      <c r="O656" s="352" t="s">
        <v>1471</v>
      </c>
      <c r="P656" t="s">
        <v>242</v>
      </c>
    </row>
    <row r="657" spans="12:16" ht="15.9" x14ac:dyDescent="0.45">
      <c r="L657" s="350">
        <v>714310</v>
      </c>
      <c r="M657" s="351" t="s">
        <v>5422</v>
      </c>
      <c r="N657" s="352" t="s">
        <v>4836</v>
      </c>
      <c r="O657" s="352" t="s">
        <v>383</v>
      </c>
      <c r="P657" t="s">
        <v>242</v>
      </c>
    </row>
    <row r="658" spans="12:16" ht="15.9" x14ac:dyDescent="0.45">
      <c r="L658" s="350">
        <v>714431</v>
      </c>
      <c r="M658" s="351" t="s">
        <v>4837</v>
      </c>
      <c r="N658" s="352" t="s">
        <v>1472</v>
      </c>
      <c r="O658" s="352" t="s">
        <v>1473</v>
      </c>
      <c r="P658" t="s">
        <v>242</v>
      </c>
    </row>
    <row r="659" spans="12:16" ht="15.9" x14ac:dyDescent="0.45">
      <c r="L659" s="350">
        <v>714432</v>
      </c>
      <c r="M659" s="351" t="s">
        <v>4838</v>
      </c>
      <c r="N659" s="352" t="s">
        <v>1474</v>
      </c>
      <c r="O659" s="352" t="s">
        <v>1475</v>
      </c>
      <c r="P659" t="s">
        <v>242</v>
      </c>
    </row>
    <row r="660" spans="12:16" ht="15.9" x14ac:dyDescent="0.45">
      <c r="L660" s="350">
        <v>714433</v>
      </c>
      <c r="M660" s="351" t="s">
        <v>4839</v>
      </c>
      <c r="N660" s="352" t="s">
        <v>1476</v>
      </c>
      <c r="O660" s="352" t="s">
        <v>1477</v>
      </c>
      <c r="P660" t="s">
        <v>242</v>
      </c>
    </row>
    <row r="661" spans="12:16" ht="15.9" x14ac:dyDescent="0.45">
      <c r="L661" s="350">
        <v>720100</v>
      </c>
      <c r="M661" s="351" t="s">
        <v>4841</v>
      </c>
      <c r="N661" s="352" t="s">
        <v>5423</v>
      </c>
      <c r="O661" s="352" t="s">
        <v>383</v>
      </c>
      <c r="P661" t="s">
        <v>242</v>
      </c>
    </row>
    <row r="662" spans="12:16" ht="15.9" x14ac:dyDescent="0.45">
      <c r="L662" s="350">
        <v>721123</v>
      </c>
      <c r="M662" s="351" t="s">
        <v>4843</v>
      </c>
      <c r="N662" s="352" t="s">
        <v>1478</v>
      </c>
      <c r="O662" s="352" t="s">
        <v>1479</v>
      </c>
      <c r="P662" t="s">
        <v>242</v>
      </c>
    </row>
    <row r="663" spans="12:16" ht="31.75" x14ac:dyDescent="0.45">
      <c r="L663" s="350">
        <v>721201</v>
      </c>
      <c r="M663" s="351" t="s">
        <v>4844</v>
      </c>
      <c r="N663" s="352" t="s">
        <v>5424</v>
      </c>
      <c r="O663" s="352" t="s">
        <v>1480</v>
      </c>
      <c r="P663" t="s">
        <v>242</v>
      </c>
    </row>
    <row r="664" spans="12:16" ht="15.9" x14ac:dyDescent="0.45">
      <c r="L664" s="350">
        <v>721215</v>
      </c>
      <c r="M664" s="351" t="s">
        <v>4847</v>
      </c>
      <c r="N664" s="352" t="s">
        <v>1481</v>
      </c>
      <c r="O664" s="352" t="s">
        <v>1482</v>
      </c>
      <c r="P664" t="s">
        <v>242</v>
      </c>
    </row>
    <row r="665" spans="12:16" ht="15.9" x14ac:dyDescent="0.45">
      <c r="L665" s="350">
        <v>721311</v>
      </c>
      <c r="M665" s="351" t="s">
        <v>4848</v>
      </c>
      <c r="N665" s="352" t="s">
        <v>5425</v>
      </c>
      <c r="O665" s="352" t="s">
        <v>1484</v>
      </c>
      <c r="P665" t="s">
        <v>242</v>
      </c>
    </row>
    <row r="666" spans="12:16" ht="15.9" x14ac:dyDescent="0.45">
      <c r="L666" s="350">
        <v>721312</v>
      </c>
      <c r="M666" s="351" t="s">
        <v>4849</v>
      </c>
      <c r="N666" s="352" t="s">
        <v>5426</v>
      </c>
      <c r="O666" s="352" t="s">
        <v>1486</v>
      </c>
      <c r="P666" t="s">
        <v>242</v>
      </c>
    </row>
    <row r="667" spans="12:16" ht="15.9" x14ac:dyDescent="0.45">
      <c r="L667" s="350">
        <v>721313</v>
      </c>
      <c r="M667" s="351" t="s">
        <v>4850</v>
      </c>
      <c r="N667" s="352" t="s">
        <v>5427</v>
      </c>
      <c r="O667" s="352" t="s">
        <v>1488</v>
      </c>
      <c r="P667" t="s">
        <v>242</v>
      </c>
    </row>
    <row r="668" spans="12:16" ht="15.9" x14ac:dyDescent="0.45">
      <c r="L668" s="350">
        <v>721314</v>
      </c>
      <c r="M668" s="351" t="s">
        <v>4851</v>
      </c>
      <c r="N668" s="352" t="s">
        <v>5428</v>
      </c>
      <c r="O668" s="352" t="s">
        <v>1490</v>
      </c>
      <c r="P668" t="s">
        <v>242</v>
      </c>
    </row>
    <row r="669" spans="12:16" ht="15.9" x14ac:dyDescent="0.45">
      <c r="L669" s="350">
        <v>721315</v>
      </c>
      <c r="M669" s="351" t="s">
        <v>4852</v>
      </c>
      <c r="N669" s="352" t="s">
        <v>5429</v>
      </c>
      <c r="O669" s="352" t="s">
        <v>1491</v>
      </c>
      <c r="P669" t="s">
        <v>242</v>
      </c>
    </row>
    <row r="670" spans="12:16" ht="15.9" x14ac:dyDescent="0.45">
      <c r="L670" s="350">
        <v>721316</v>
      </c>
      <c r="M670" s="351" t="s">
        <v>4853</v>
      </c>
      <c r="N670" s="352" t="s">
        <v>5430</v>
      </c>
      <c r="O670" s="352" t="s">
        <v>1493</v>
      </c>
      <c r="P670" t="s">
        <v>242</v>
      </c>
    </row>
    <row r="671" spans="12:16" ht="15.9" x14ac:dyDescent="0.45">
      <c r="L671" s="350">
        <v>721321</v>
      </c>
      <c r="M671" s="351" t="s">
        <v>4854</v>
      </c>
      <c r="N671" s="352" t="s">
        <v>5431</v>
      </c>
      <c r="O671" s="352" t="s">
        <v>1494</v>
      </c>
      <c r="P671" t="s">
        <v>242</v>
      </c>
    </row>
    <row r="672" spans="12:16" ht="15.9" x14ac:dyDescent="0.45">
      <c r="L672" s="350">
        <v>721322</v>
      </c>
      <c r="M672" s="351" t="s">
        <v>4857</v>
      </c>
      <c r="N672" s="352" t="s">
        <v>5432</v>
      </c>
      <c r="O672" s="352" t="s">
        <v>1496</v>
      </c>
      <c r="P672" t="s">
        <v>242</v>
      </c>
    </row>
    <row r="673" spans="12:16" ht="31.75" x14ac:dyDescent="0.45">
      <c r="L673" s="350">
        <v>721421</v>
      </c>
      <c r="M673" s="351" t="s">
        <v>4858</v>
      </c>
      <c r="N673" s="352" t="s">
        <v>5433</v>
      </c>
      <c r="O673" s="352" t="s">
        <v>3742</v>
      </c>
      <c r="P673" t="s">
        <v>242</v>
      </c>
    </row>
    <row r="674" spans="12:16" ht="15.9" x14ac:dyDescent="0.45">
      <c r="L674" s="350">
        <v>722345</v>
      </c>
      <c r="M674" s="351" t="s">
        <v>4859</v>
      </c>
      <c r="N674" s="352" t="s">
        <v>1498</v>
      </c>
      <c r="O674" s="352" t="s">
        <v>1499</v>
      </c>
      <c r="P674" t="s">
        <v>242</v>
      </c>
    </row>
    <row r="675" spans="12:16" ht="15.9" x14ac:dyDescent="0.45">
      <c r="L675" s="350">
        <v>722351</v>
      </c>
      <c r="M675" s="351" t="s">
        <v>4860</v>
      </c>
      <c r="N675" s="373" t="s">
        <v>5492</v>
      </c>
      <c r="O675" s="352" t="s">
        <v>1501</v>
      </c>
      <c r="P675" t="s">
        <v>242</v>
      </c>
    </row>
    <row r="676" spans="12:16" ht="15.9" x14ac:dyDescent="0.45">
      <c r="L676" s="350">
        <v>722356</v>
      </c>
      <c r="M676" s="351" t="s">
        <v>4861</v>
      </c>
      <c r="N676" s="352" t="s">
        <v>5434</v>
      </c>
      <c r="O676" s="352" t="s">
        <v>1502</v>
      </c>
      <c r="P676" t="s">
        <v>242</v>
      </c>
    </row>
    <row r="677" spans="12:16" ht="15.9" x14ac:dyDescent="0.45">
      <c r="L677" s="350">
        <v>723242</v>
      </c>
      <c r="M677" s="351" t="s">
        <v>4862</v>
      </c>
      <c r="N677" s="352" t="s">
        <v>5435</v>
      </c>
      <c r="O677" s="352" t="s">
        <v>383</v>
      </c>
      <c r="P677" t="s">
        <v>242</v>
      </c>
    </row>
    <row r="678" spans="12:16" ht="15.9" x14ac:dyDescent="0.45">
      <c r="L678" s="350">
        <v>723385</v>
      </c>
      <c r="M678" s="351" t="s">
        <v>4864</v>
      </c>
      <c r="N678" s="352" t="s">
        <v>5436</v>
      </c>
      <c r="O678" s="352" t="s">
        <v>1504</v>
      </c>
      <c r="P678" t="s">
        <v>242</v>
      </c>
    </row>
    <row r="679" spans="12:16" ht="15.9" x14ac:dyDescent="0.45">
      <c r="L679" s="350">
        <v>723388</v>
      </c>
      <c r="M679" s="351" t="s">
        <v>4865</v>
      </c>
      <c r="N679" s="352" t="s">
        <v>5437</v>
      </c>
      <c r="O679" s="352" t="s">
        <v>1506</v>
      </c>
      <c r="P679" t="s">
        <v>242</v>
      </c>
    </row>
    <row r="680" spans="12:16" ht="15.9" x14ac:dyDescent="0.45">
      <c r="L680" s="350">
        <v>723392</v>
      </c>
      <c r="M680" s="351" t="s">
        <v>4866</v>
      </c>
      <c r="N680" s="352" t="s">
        <v>1507</v>
      </c>
      <c r="O680" s="352" t="s">
        <v>1508</v>
      </c>
      <c r="P680" t="s">
        <v>242</v>
      </c>
    </row>
    <row r="681" spans="12:16" ht="15.9" x14ac:dyDescent="0.45">
      <c r="L681" s="350">
        <v>723510</v>
      </c>
      <c r="M681" s="351" t="s">
        <v>4867</v>
      </c>
      <c r="N681" s="352" t="s">
        <v>4868</v>
      </c>
      <c r="O681" s="352" t="s">
        <v>383</v>
      </c>
      <c r="P681" t="s">
        <v>242</v>
      </c>
    </row>
    <row r="682" spans="12:16" ht="15.9" x14ac:dyDescent="0.45">
      <c r="L682" s="350">
        <v>723600</v>
      </c>
      <c r="M682" s="351" t="s">
        <v>4869</v>
      </c>
      <c r="N682" s="352" t="s">
        <v>4870</v>
      </c>
      <c r="O682" s="352" t="s">
        <v>383</v>
      </c>
      <c r="P682" t="s">
        <v>242</v>
      </c>
    </row>
    <row r="683" spans="12:16" ht="15.9" x14ac:dyDescent="0.45">
      <c r="L683" s="350">
        <v>723610</v>
      </c>
      <c r="M683" s="351" t="s">
        <v>4871</v>
      </c>
      <c r="N683" s="352" t="s">
        <v>4872</v>
      </c>
      <c r="O683" s="352" t="s">
        <v>383</v>
      </c>
      <c r="P683" t="s">
        <v>242</v>
      </c>
    </row>
    <row r="684" spans="12:16" ht="15.9" x14ac:dyDescent="0.45">
      <c r="L684" s="350">
        <v>724415</v>
      </c>
      <c r="M684" s="351" t="s">
        <v>4873</v>
      </c>
      <c r="N684" s="352" t="s">
        <v>5438</v>
      </c>
      <c r="O684" s="352" t="s">
        <v>1511</v>
      </c>
      <c r="P684" t="s">
        <v>242</v>
      </c>
    </row>
    <row r="685" spans="12:16" ht="15.9" x14ac:dyDescent="0.45">
      <c r="L685" s="350">
        <v>724417</v>
      </c>
      <c r="M685" s="351" t="s">
        <v>4875</v>
      </c>
      <c r="N685" s="352" t="s">
        <v>5439</v>
      </c>
      <c r="O685" s="352" t="s">
        <v>1513</v>
      </c>
      <c r="P685" t="s">
        <v>242</v>
      </c>
    </row>
    <row r="686" spans="12:16" ht="15.9" x14ac:dyDescent="0.45">
      <c r="L686" s="350">
        <v>724433</v>
      </c>
      <c r="M686" s="351" t="s">
        <v>4876</v>
      </c>
      <c r="N686" s="352" t="s">
        <v>5440</v>
      </c>
      <c r="O686" s="352" t="s">
        <v>1515</v>
      </c>
      <c r="P686" t="s">
        <v>242</v>
      </c>
    </row>
    <row r="687" spans="12:16" ht="15.9" x14ac:dyDescent="0.45">
      <c r="L687" s="350">
        <v>725100</v>
      </c>
      <c r="M687" s="351" t="s">
        <v>4877</v>
      </c>
      <c r="N687" s="352" t="s">
        <v>5441</v>
      </c>
      <c r="O687" s="352" t="s">
        <v>383</v>
      </c>
      <c r="P687" t="s">
        <v>242</v>
      </c>
    </row>
    <row r="688" spans="12:16" ht="15.9" x14ac:dyDescent="0.45">
      <c r="L688" s="350">
        <v>725121</v>
      </c>
      <c r="M688" s="351" t="s">
        <v>4879</v>
      </c>
      <c r="N688" s="352" t="s">
        <v>1517</v>
      </c>
      <c r="O688" s="352" t="s">
        <v>1518</v>
      </c>
      <c r="P688" t="s">
        <v>242</v>
      </c>
    </row>
    <row r="689" spans="12:16" ht="15.9" x14ac:dyDescent="0.45">
      <c r="L689" s="350">
        <v>725513</v>
      </c>
      <c r="M689" s="351" t="s">
        <v>4880</v>
      </c>
      <c r="N689" s="352" t="s">
        <v>1519</v>
      </c>
      <c r="O689" s="352" t="s">
        <v>1520</v>
      </c>
      <c r="P689" t="s">
        <v>242</v>
      </c>
    </row>
    <row r="690" spans="12:16" ht="15.9" x14ac:dyDescent="0.45">
      <c r="L690" s="350">
        <v>725517</v>
      </c>
      <c r="M690" s="351" t="s">
        <v>4882</v>
      </c>
      <c r="N690" s="373" t="s">
        <v>5493</v>
      </c>
      <c r="O690" s="352" t="s">
        <v>1522</v>
      </c>
      <c r="P690" t="s">
        <v>242</v>
      </c>
    </row>
    <row r="691" spans="12:16" ht="15.9" x14ac:dyDescent="0.45">
      <c r="L691" s="350">
        <v>730142</v>
      </c>
      <c r="M691" s="351" t="s">
        <v>140</v>
      </c>
      <c r="N691" s="352" t="s">
        <v>5442</v>
      </c>
      <c r="O691" s="352" t="s">
        <v>1523</v>
      </c>
      <c r="P691" t="s">
        <v>242</v>
      </c>
    </row>
    <row r="692" spans="12:16" ht="15.9" x14ac:dyDescent="0.45">
      <c r="L692" s="350">
        <v>730145</v>
      </c>
      <c r="M692" s="351" t="s">
        <v>4884</v>
      </c>
      <c r="N692" s="373" t="s">
        <v>5494</v>
      </c>
      <c r="O692" s="352" t="s">
        <v>383</v>
      </c>
      <c r="P692" t="s">
        <v>242</v>
      </c>
    </row>
    <row r="693" spans="12:16" ht="15.9" x14ac:dyDescent="0.45">
      <c r="L693" s="350">
        <v>730147</v>
      </c>
      <c r="M693" s="351" t="s">
        <v>4886</v>
      </c>
      <c r="N693" s="352" t="s">
        <v>5443</v>
      </c>
      <c r="O693" s="352" t="s">
        <v>1525</v>
      </c>
      <c r="P693" t="s">
        <v>242</v>
      </c>
    </row>
    <row r="694" spans="12:16" ht="15.9" x14ac:dyDescent="0.45">
      <c r="L694" s="350">
        <v>730151</v>
      </c>
      <c r="M694" s="351" t="s">
        <v>3109</v>
      </c>
      <c r="N694" s="352" t="s">
        <v>5444</v>
      </c>
      <c r="O694" s="352" t="s">
        <v>1527</v>
      </c>
      <c r="P694" t="s">
        <v>242</v>
      </c>
    </row>
    <row r="695" spans="12:16" ht="15.9" x14ac:dyDescent="0.45">
      <c r="L695" s="350">
        <v>730182</v>
      </c>
      <c r="M695" s="351" t="s">
        <v>4888</v>
      </c>
      <c r="N695" s="352" t="s">
        <v>5445</v>
      </c>
      <c r="O695" s="352" t="s">
        <v>1529</v>
      </c>
      <c r="P695" t="s">
        <v>242</v>
      </c>
    </row>
    <row r="696" spans="12:16" ht="15.9" x14ac:dyDescent="0.45">
      <c r="L696" s="350">
        <v>730186</v>
      </c>
      <c r="M696" s="351" t="s">
        <v>4889</v>
      </c>
      <c r="N696" s="373" t="s">
        <v>5495</v>
      </c>
      <c r="O696" s="374" t="s">
        <v>1531</v>
      </c>
      <c r="P696" t="s">
        <v>242</v>
      </c>
    </row>
    <row r="697" spans="12:16" ht="15.9" x14ac:dyDescent="0.45">
      <c r="L697" s="350">
        <v>730275</v>
      </c>
      <c r="M697" s="351" t="s">
        <v>4890</v>
      </c>
      <c r="N697" s="352" t="s">
        <v>1532</v>
      </c>
      <c r="O697" s="352" t="s">
        <v>1533</v>
      </c>
      <c r="P697" t="s">
        <v>242</v>
      </c>
    </row>
    <row r="698" spans="12:16" ht="15.9" x14ac:dyDescent="0.45">
      <c r="L698" s="350">
        <v>730277</v>
      </c>
      <c r="M698" s="351" t="s">
        <v>3117</v>
      </c>
      <c r="N698" s="352" t="s">
        <v>1534</v>
      </c>
      <c r="O698" s="352" t="s">
        <v>1535</v>
      </c>
      <c r="P698" t="s">
        <v>242</v>
      </c>
    </row>
    <row r="699" spans="12:16" ht="15.9" x14ac:dyDescent="0.45">
      <c r="L699" s="350">
        <v>730441</v>
      </c>
      <c r="M699" s="351" t="s">
        <v>3121</v>
      </c>
      <c r="N699" s="352" t="s">
        <v>1536</v>
      </c>
      <c r="O699" s="352" t="s">
        <v>1537</v>
      </c>
      <c r="P699" t="s">
        <v>242</v>
      </c>
    </row>
    <row r="700" spans="12:16" ht="15.9" x14ac:dyDescent="0.45">
      <c r="L700" s="350">
        <v>730443</v>
      </c>
      <c r="M700" s="351" t="s">
        <v>4891</v>
      </c>
      <c r="N700" s="352" t="s">
        <v>1538</v>
      </c>
      <c r="O700" s="352" t="s">
        <v>1539</v>
      </c>
      <c r="P700" t="s">
        <v>242</v>
      </c>
    </row>
    <row r="701" spans="12:16" ht="15.9" x14ac:dyDescent="0.45">
      <c r="L701" s="350">
        <v>730551</v>
      </c>
      <c r="M701" s="351" t="s">
        <v>4892</v>
      </c>
      <c r="N701" s="352" t="s">
        <v>5446</v>
      </c>
      <c r="O701" s="352" t="s">
        <v>1541</v>
      </c>
      <c r="P701" t="s">
        <v>242</v>
      </c>
    </row>
    <row r="702" spans="12:16" ht="15.9" x14ac:dyDescent="0.45">
      <c r="L702" s="350">
        <v>730652</v>
      </c>
      <c r="M702" s="351" t="s">
        <v>4894</v>
      </c>
      <c r="N702" s="352" t="s">
        <v>3747</v>
      </c>
      <c r="O702" s="352" t="s">
        <v>1542</v>
      </c>
      <c r="P702" t="s">
        <v>242</v>
      </c>
    </row>
    <row r="703" spans="12:16" ht="15.9" x14ac:dyDescent="0.45">
      <c r="L703" s="350">
        <v>730660</v>
      </c>
      <c r="M703" s="351" t="s">
        <v>4895</v>
      </c>
      <c r="N703" s="352" t="s">
        <v>4896</v>
      </c>
      <c r="O703" s="352" t="s">
        <v>1544</v>
      </c>
      <c r="P703" t="s">
        <v>242</v>
      </c>
    </row>
    <row r="704" spans="12:16" ht="15.9" x14ac:dyDescent="0.45">
      <c r="L704" s="350">
        <v>730711</v>
      </c>
      <c r="M704" s="351" t="s">
        <v>4897</v>
      </c>
      <c r="N704" s="352" t="s">
        <v>5447</v>
      </c>
      <c r="O704" s="352" t="s">
        <v>1546</v>
      </c>
      <c r="P704" t="s">
        <v>242</v>
      </c>
    </row>
    <row r="705" spans="12:16" ht="15.9" x14ac:dyDescent="0.45">
      <c r="L705" s="350">
        <v>730713</v>
      </c>
      <c r="M705" s="351" t="s">
        <v>4898</v>
      </c>
      <c r="N705" s="352" t="s">
        <v>5448</v>
      </c>
      <c r="O705" s="352" t="s">
        <v>1548</v>
      </c>
      <c r="P705" t="s">
        <v>242</v>
      </c>
    </row>
    <row r="706" spans="12:16" ht="15.9" x14ac:dyDescent="0.45">
      <c r="L706" s="350">
        <v>730717</v>
      </c>
      <c r="M706" s="351" t="s">
        <v>4899</v>
      </c>
      <c r="N706" s="352" t="s">
        <v>5449</v>
      </c>
      <c r="O706" s="352" t="s">
        <v>1551</v>
      </c>
      <c r="P706" t="s">
        <v>242</v>
      </c>
    </row>
    <row r="707" spans="12:16" ht="15.9" x14ac:dyDescent="0.45">
      <c r="L707" s="350">
        <v>730740</v>
      </c>
      <c r="M707" s="351" t="s">
        <v>5450</v>
      </c>
      <c r="N707" s="352" t="s">
        <v>5451</v>
      </c>
      <c r="O707" s="352" t="s">
        <v>383</v>
      </c>
      <c r="P707" t="s">
        <v>242</v>
      </c>
    </row>
    <row r="708" spans="12:16" ht="15.9" x14ac:dyDescent="0.45">
      <c r="L708" s="350">
        <v>730771</v>
      </c>
      <c r="M708" s="351" t="s">
        <v>4903</v>
      </c>
      <c r="N708" s="352" t="s">
        <v>5452</v>
      </c>
      <c r="O708" s="352" t="s">
        <v>1552</v>
      </c>
      <c r="P708" t="s">
        <v>242</v>
      </c>
    </row>
    <row r="709" spans="12:16" ht="15.9" x14ac:dyDescent="0.45">
      <c r="L709" s="350">
        <v>730772</v>
      </c>
      <c r="M709" s="351" t="s">
        <v>3138</v>
      </c>
      <c r="N709" s="352" t="s">
        <v>5453</v>
      </c>
      <c r="O709" s="352" t="s">
        <v>1554</v>
      </c>
      <c r="P709" t="s">
        <v>242</v>
      </c>
    </row>
    <row r="710" spans="12:16" ht="15.9" x14ac:dyDescent="0.45">
      <c r="L710" s="350">
        <v>730773</v>
      </c>
      <c r="M710" s="351" t="s">
        <v>4905</v>
      </c>
      <c r="N710" s="352" t="s">
        <v>1555</v>
      </c>
      <c r="O710" s="352" t="s">
        <v>1556</v>
      </c>
      <c r="P710" t="s">
        <v>242</v>
      </c>
    </row>
    <row r="711" spans="12:16" ht="15.9" x14ac:dyDescent="0.45">
      <c r="L711" s="350">
        <v>730774</v>
      </c>
      <c r="M711" s="351" t="s">
        <v>4906</v>
      </c>
      <c r="N711" s="352" t="s">
        <v>5454</v>
      </c>
      <c r="O711" s="374" t="s">
        <v>1558</v>
      </c>
      <c r="P711" t="s">
        <v>242</v>
      </c>
    </row>
    <row r="712" spans="12:16" ht="15.9" x14ac:dyDescent="0.45">
      <c r="L712" s="350">
        <v>730781</v>
      </c>
      <c r="M712" s="351" t="s">
        <v>4907</v>
      </c>
      <c r="N712" s="352" t="s">
        <v>1559</v>
      </c>
      <c r="O712" s="352" t="s">
        <v>1560</v>
      </c>
      <c r="P712" t="s">
        <v>242</v>
      </c>
    </row>
    <row r="713" spans="12:16" ht="15.9" x14ac:dyDescent="0.45">
      <c r="L713" s="350">
        <v>730782</v>
      </c>
      <c r="M713" s="351" t="s">
        <v>4908</v>
      </c>
      <c r="N713" s="352" t="s">
        <v>1561</v>
      </c>
      <c r="O713" s="352" t="s">
        <v>1562</v>
      </c>
      <c r="P713" t="s">
        <v>242</v>
      </c>
    </row>
    <row r="714" spans="12:16" ht="15.9" x14ac:dyDescent="0.45">
      <c r="L714" s="350">
        <v>730783</v>
      </c>
      <c r="M714" s="351" t="s">
        <v>4909</v>
      </c>
      <c r="N714" s="352" t="s">
        <v>5455</v>
      </c>
      <c r="O714" s="352" t="s">
        <v>1564</v>
      </c>
      <c r="P714" t="s">
        <v>242</v>
      </c>
    </row>
    <row r="715" spans="12:16" ht="15.9" x14ac:dyDescent="0.45">
      <c r="L715" s="350">
        <v>730787</v>
      </c>
      <c r="M715" s="351" t="s">
        <v>4910</v>
      </c>
      <c r="N715" s="352" t="s">
        <v>5456</v>
      </c>
      <c r="O715" s="352" t="s">
        <v>1566</v>
      </c>
      <c r="P715" t="s">
        <v>242</v>
      </c>
    </row>
    <row r="716" spans="12:16" ht="15.9" x14ac:dyDescent="0.45">
      <c r="L716" s="350">
        <v>730789</v>
      </c>
      <c r="M716" s="351" t="s">
        <v>4911</v>
      </c>
      <c r="N716" s="352" t="s">
        <v>5457</v>
      </c>
      <c r="O716" s="352" t="s">
        <v>1568</v>
      </c>
      <c r="P716" t="s">
        <v>242</v>
      </c>
    </row>
    <row r="717" spans="12:16" ht="15.9" x14ac:dyDescent="0.45">
      <c r="L717" s="350">
        <v>730801</v>
      </c>
      <c r="M717" s="351" t="s">
        <v>4913</v>
      </c>
      <c r="N717" s="352" t="s">
        <v>5458</v>
      </c>
      <c r="O717" s="352" t="s">
        <v>383</v>
      </c>
      <c r="P717" t="s">
        <v>242</v>
      </c>
    </row>
    <row r="718" spans="12:16" ht="15.9" x14ac:dyDescent="0.45">
      <c r="L718" s="350">
        <v>730831</v>
      </c>
      <c r="M718" s="351" t="s">
        <v>4917</v>
      </c>
      <c r="N718" s="352" t="s">
        <v>1569</v>
      </c>
      <c r="O718" s="352" t="s">
        <v>1570</v>
      </c>
      <c r="P718" t="s">
        <v>242</v>
      </c>
    </row>
    <row r="719" spans="12:16" ht="15.9" x14ac:dyDescent="0.45">
      <c r="L719" s="350">
        <v>730832</v>
      </c>
      <c r="M719" s="351" t="s">
        <v>4918</v>
      </c>
      <c r="N719" s="352" t="s">
        <v>1571</v>
      </c>
      <c r="O719" s="352" t="s">
        <v>1572</v>
      </c>
      <c r="P719" t="s">
        <v>242</v>
      </c>
    </row>
    <row r="720" spans="12:16" ht="15.9" x14ac:dyDescent="0.45">
      <c r="L720" s="350">
        <v>730834</v>
      </c>
      <c r="M720" s="351" t="s">
        <v>4919</v>
      </c>
      <c r="N720" s="352" t="s">
        <v>5459</v>
      </c>
      <c r="O720" s="352" t="s">
        <v>1573</v>
      </c>
      <c r="P720" t="s">
        <v>242</v>
      </c>
    </row>
    <row r="721" spans="12:16" ht="15.9" x14ac:dyDescent="0.45">
      <c r="L721" s="350">
        <v>730835</v>
      </c>
      <c r="M721" s="351" t="s">
        <v>4922</v>
      </c>
      <c r="N721" s="352" t="s">
        <v>5460</v>
      </c>
      <c r="O721" s="352" t="s">
        <v>1575</v>
      </c>
      <c r="P721" t="s">
        <v>242</v>
      </c>
    </row>
    <row r="722" spans="12:16" ht="15.9" x14ac:dyDescent="0.45">
      <c r="L722" s="350">
        <v>730836</v>
      </c>
      <c r="M722" s="351" t="s">
        <v>4923</v>
      </c>
      <c r="N722" s="352" t="s">
        <v>5461</v>
      </c>
      <c r="O722" s="352" t="s">
        <v>1577</v>
      </c>
      <c r="P722" t="s">
        <v>242</v>
      </c>
    </row>
    <row r="723" spans="12:16" ht="15.9" x14ac:dyDescent="0.45">
      <c r="L723" s="350">
        <v>730837</v>
      </c>
      <c r="M723" s="351" t="s">
        <v>4924</v>
      </c>
      <c r="N723" s="373" t="s">
        <v>5496</v>
      </c>
      <c r="O723" s="352" t="s">
        <v>1578</v>
      </c>
      <c r="P723" t="s">
        <v>242</v>
      </c>
    </row>
    <row r="724" spans="12:16" ht="15.9" x14ac:dyDescent="0.45">
      <c r="L724" s="350">
        <v>730838</v>
      </c>
      <c r="M724" s="351" t="s">
        <v>4926</v>
      </c>
      <c r="N724" s="352" t="s">
        <v>1576</v>
      </c>
      <c r="O724" s="352" t="s">
        <v>1579</v>
      </c>
      <c r="P724" t="s">
        <v>242</v>
      </c>
    </row>
    <row r="725" spans="12:16" ht="15.9" x14ac:dyDescent="0.45">
      <c r="L725" s="350">
        <v>730839</v>
      </c>
      <c r="M725" s="351" t="s">
        <v>4927</v>
      </c>
      <c r="N725" s="352" t="s">
        <v>5462</v>
      </c>
      <c r="O725" s="352" t="s">
        <v>3748</v>
      </c>
      <c r="P725" t="s">
        <v>242</v>
      </c>
    </row>
    <row r="726" spans="12:16" ht="15.9" x14ac:dyDescent="0.45">
      <c r="L726" s="350">
        <v>730841</v>
      </c>
      <c r="M726" s="351" t="s">
        <v>4930</v>
      </c>
      <c r="N726" s="352" t="s">
        <v>1581</v>
      </c>
      <c r="O726" s="352" t="s">
        <v>1582</v>
      </c>
      <c r="P726" t="s">
        <v>242</v>
      </c>
    </row>
    <row r="727" spans="12:16" ht="15.9" x14ac:dyDescent="0.45">
      <c r="L727" s="350">
        <v>730911</v>
      </c>
      <c r="M727" s="351" t="s">
        <v>4933</v>
      </c>
      <c r="N727" s="352" t="s">
        <v>1584</v>
      </c>
      <c r="O727" s="352" t="s">
        <v>1585</v>
      </c>
      <c r="P727" t="s">
        <v>242</v>
      </c>
    </row>
    <row r="728" spans="12:16" ht="15.9" x14ac:dyDescent="0.45">
      <c r="L728" s="350">
        <v>731421</v>
      </c>
      <c r="M728" s="351" t="s">
        <v>4934</v>
      </c>
      <c r="N728" s="352" t="s">
        <v>1586</v>
      </c>
      <c r="O728" s="352" t="s">
        <v>1587</v>
      </c>
      <c r="P728" t="s">
        <v>242</v>
      </c>
    </row>
    <row r="729" spans="12:16" ht="15.9" x14ac:dyDescent="0.45">
      <c r="L729" s="350">
        <v>738401</v>
      </c>
      <c r="M729" s="351" t="s">
        <v>4935</v>
      </c>
      <c r="N729" s="352" t="s">
        <v>1588</v>
      </c>
      <c r="O729" s="352" t="s">
        <v>1589</v>
      </c>
      <c r="P729" t="s">
        <v>242</v>
      </c>
    </row>
    <row r="730" spans="12:16" ht="15.9" x14ac:dyDescent="0.45">
      <c r="L730" s="350">
        <v>738421</v>
      </c>
      <c r="M730" s="351" t="s">
        <v>4936</v>
      </c>
      <c r="N730" s="352" t="s">
        <v>1591</v>
      </c>
      <c r="O730" s="352" t="s">
        <v>1592</v>
      </c>
      <c r="P730" t="s">
        <v>242</v>
      </c>
    </row>
    <row r="731" spans="12:16" ht="15.9" x14ac:dyDescent="0.45">
      <c r="L731" s="350">
        <v>738499</v>
      </c>
      <c r="M731" s="351" t="s">
        <v>4937</v>
      </c>
      <c r="N731" s="352" t="s">
        <v>1593</v>
      </c>
      <c r="O731" s="352" t="s">
        <v>1594</v>
      </c>
      <c r="P731" t="s">
        <v>242</v>
      </c>
    </row>
    <row r="732" spans="12:16" ht="15.9" x14ac:dyDescent="0.45">
      <c r="L732" s="350">
        <v>738521</v>
      </c>
      <c r="M732" s="351" t="s">
        <v>4938</v>
      </c>
      <c r="N732" s="352" t="s">
        <v>1595</v>
      </c>
      <c r="O732" s="352" t="s">
        <v>1596</v>
      </c>
      <c r="P732" t="s">
        <v>242</v>
      </c>
    </row>
    <row r="733" spans="12:16" ht="15.9" x14ac:dyDescent="0.45">
      <c r="L733" s="350">
        <v>740111</v>
      </c>
      <c r="M733" s="351" t="s">
        <v>4940</v>
      </c>
      <c r="N733" s="352" t="s">
        <v>5463</v>
      </c>
      <c r="O733" s="352" t="s">
        <v>1598</v>
      </c>
      <c r="P733" t="s">
        <v>242</v>
      </c>
    </row>
    <row r="734" spans="12:16" ht="15.9" x14ac:dyDescent="0.45">
      <c r="L734" s="350">
        <v>740153</v>
      </c>
      <c r="M734" s="351" t="s">
        <v>4942</v>
      </c>
      <c r="N734" s="352" t="s">
        <v>1600</v>
      </c>
      <c r="O734" s="352" t="s">
        <v>1601</v>
      </c>
      <c r="P734" t="s">
        <v>242</v>
      </c>
    </row>
    <row r="735" spans="12:16" ht="15.9" x14ac:dyDescent="0.45">
      <c r="L735" s="350">
        <v>740155</v>
      </c>
      <c r="M735" s="351" t="s">
        <v>4943</v>
      </c>
      <c r="N735" s="352" t="s">
        <v>5464</v>
      </c>
      <c r="O735" s="352" t="s">
        <v>1604</v>
      </c>
      <c r="P735" t="s">
        <v>242</v>
      </c>
    </row>
    <row r="736" spans="12:16" ht="15.9" x14ac:dyDescent="0.45">
      <c r="L736" s="350">
        <v>740253</v>
      </c>
      <c r="M736" s="351" t="s">
        <v>4944</v>
      </c>
      <c r="N736" s="352" t="s">
        <v>5465</v>
      </c>
      <c r="O736" s="352" t="s">
        <v>1606</v>
      </c>
      <c r="P736" t="s">
        <v>242</v>
      </c>
    </row>
    <row r="737" spans="12:16" ht="15.9" x14ac:dyDescent="0.45">
      <c r="L737" s="350">
        <v>740255</v>
      </c>
      <c r="M737" s="351" t="s">
        <v>4945</v>
      </c>
      <c r="N737" s="352" t="s">
        <v>1608</v>
      </c>
      <c r="O737" s="352" t="s">
        <v>1609</v>
      </c>
      <c r="P737" t="s">
        <v>242</v>
      </c>
    </row>
    <row r="738" spans="12:16" ht="15.9" x14ac:dyDescent="0.45">
      <c r="L738" s="350">
        <v>740262</v>
      </c>
      <c r="M738" s="351" t="s">
        <v>4946</v>
      </c>
      <c r="N738" s="352" t="s">
        <v>1611</v>
      </c>
      <c r="O738" s="352" t="s">
        <v>383</v>
      </c>
      <c r="P738" t="s">
        <v>242</v>
      </c>
    </row>
    <row r="739" spans="12:16" ht="15.9" x14ac:dyDescent="0.45">
      <c r="L739" s="350">
        <v>740266</v>
      </c>
      <c r="M739" s="351" t="s">
        <v>4947</v>
      </c>
      <c r="N739" s="352" t="s">
        <v>1613</v>
      </c>
      <c r="O739" s="352" t="s">
        <v>1614</v>
      </c>
      <c r="P739" t="s">
        <v>242</v>
      </c>
    </row>
    <row r="740" spans="12:16" ht="15.9" x14ac:dyDescent="0.45">
      <c r="L740" s="350">
        <v>740267</v>
      </c>
      <c r="M740" s="351" t="s">
        <v>4948</v>
      </c>
      <c r="N740" s="352" t="s">
        <v>5466</v>
      </c>
      <c r="O740" s="352" t="s">
        <v>1616</v>
      </c>
      <c r="P740" t="s">
        <v>242</v>
      </c>
    </row>
    <row r="741" spans="12:16" ht="15.9" x14ac:dyDescent="0.45">
      <c r="L741" s="350">
        <v>740269</v>
      </c>
      <c r="M741" s="351" t="s">
        <v>4949</v>
      </c>
      <c r="N741" s="352" t="s">
        <v>5467</v>
      </c>
      <c r="O741" s="352" t="s">
        <v>1618</v>
      </c>
      <c r="P741" t="s">
        <v>242</v>
      </c>
    </row>
    <row r="742" spans="12:16" ht="15.9" x14ac:dyDescent="0.45">
      <c r="L742" s="350">
        <v>740270</v>
      </c>
      <c r="M742" s="351" t="s">
        <v>4950</v>
      </c>
      <c r="N742" s="352" t="s">
        <v>5468</v>
      </c>
      <c r="O742" s="352" t="s">
        <v>1621</v>
      </c>
      <c r="P742" t="s">
        <v>242</v>
      </c>
    </row>
    <row r="743" spans="12:16" ht="15.9" x14ac:dyDescent="0.45">
      <c r="L743" s="350">
        <v>740315</v>
      </c>
      <c r="M743" s="351" t="s">
        <v>4951</v>
      </c>
      <c r="N743" s="352" t="s">
        <v>5469</v>
      </c>
      <c r="O743" s="352" t="s">
        <v>1623</v>
      </c>
      <c r="P743" t="s">
        <v>242</v>
      </c>
    </row>
    <row r="744" spans="12:16" ht="15.9" x14ac:dyDescent="0.45">
      <c r="L744" s="350">
        <v>740316</v>
      </c>
      <c r="M744" s="351" t="s">
        <v>4952</v>
      </c>
      <c r="N744" s="352" t="s">
        <v>5470</v>
      </c>
      <c r="O744" s="352" t="s">
        <v>1624</v>
      </c>
      <c r="P744" t="s">
        <v>242</v>
      </c>
    </row>
    <row r="745" spans="12:16" ht="15.9" x14ac:dyDescent="0.45">
      <c r="L745" s="350">
        <v>740317</v>
      </c>
      <c r="M745" s="351" t="s">
        <v>4955</v>
      </c>
      <c r="N745" s="352" t="s">
        <v>1625</v>
      </c>
      <c r="O745" s="352" t="s">
        <v>1626</v>
      </c>
      <c r="P745" t="s">
        <v>242</v>
      </c>
    </row>
    <row r="746" spans="12:16" ht="15.9" x14ac:dyDescent="0.45">
      <c r="L746" s="350">
        <v>740320</v>
      </c>
      <c r="M746" s="351" t="s">
        <v>4956</v>
      </c>
      <c r="N746" s="352" t="s">
        <v>4957</v>
      </c>
      <c r="O746" s="352" t="s">
        <v>383</v>
      </c>
      <c r="P746" t="s">
        <v>242</v>
      </c>
    </row>
    <row r="747" spans="12:16" ht="15.9" x14ac:dyDescent="0.45">
      <c r="L747" s="350">
        <v>740370</v>
      </c>
      <c r="M747" s="351" t="s">
        <v>4958</v>
      </c>
      <c r="N747" s="352" t="s">
        <v>4959</v>
      </c>
      <c r="O747" s="352" t="s">
        <v>383</v>
      </c>
      <c r="P747" t="s">
        <v>242</v>
      </c>
    </row>
    <row r="748" spans="12:16" ht="15.9" x14ac:dyDescent="0.45">
      <c r="L748" s="350">
        <v>740379</v>
      </c>
      <c r="M748" s="351" t="s">
        <v>4960</v>
      </c>
      <c r="N748" s="352" t="s">
        <v>5471</v>
      </c>
      <c r="O748" s="352" t="s">
        <v>1628</v>
      </c>
      <c r="P748" t="s">
        <v>242</v>
      </c>
    </row>
    <row r="749" spans="12:16" ht="15.9" x14ac:dyDescent="0.45">
      <c r="L749" s="350">
        <v>740381</v>
      </c>
      <c r="M749" s="351" t="s">
        <v>4961</v>
      </c>
      <c r="N749" s="352" t="s">
        <v>5472</v>
      </c>
      <c r="O749" s="352" t="s">
        <v>1629</v>
      </c>
      <c r="P749" t="s">
        <v>242</v>
      </c>
    </row>
    <row r="750" spans="12:16" ht="15.9" x14ac:dyDescent="0.45">
      <c r="L750" s="350">
        <v>740382</v>
      </c>
      <c r="M750" s="351" t="s">
        <v>4962</v>
      </c>
      <c r="N750" s="352" t="s">
        <v>5473</v>
      </c>
      <c r="O750" s="352" t="s">
        <v>1630</v>
      </c>
      <c r="P750" t="s">
        <v>242</v>
      </c>
    </row>
    <row r="751" spans="12:16" ht="15.9" x14ac:dyDescent="0.45">
      <c r="L751" s="350">
        <v>740383</v>
      </c>
      <c r="M751" s="351" t="s">
        <v>4964</v>
      </c>
      <c r="N751" s="352" t="s">
        <v>1631</v>
      </c>
      <c r="O751" s="352" t="s">
        <v>1632</v>
      </c>
      <c r="P751" t="s">
        <v>242</v>
      </c>
    </row>
    <row r="752" spans="12:16" ht="15.9" x14ac:dyDescent="0.45">
      <c r="L752" s="350">
        <v>740384</v>
      </c>
      <c r="M752" s="351" t="s">
        <v>4965</v>
      </c>
      <c r="N752" s="352" t="s">
        <v>1633</v>
      </c>
      <c r="O752" s="352" t="s">
        <v>1634</v>
      </c>
      <c r="P752" t="s">
        <v>242</v>
      </c>
    </row>
    <row r="753" spans="12:16" ht="15.9" x14ac:dyDescent="0.45">
      <c r="L753" s="350">
        <v>740385</v>
      </c>
      <c r="M753" s="351" t="s">
        <v>4966</v>
      </c>
      <c r="N753" s="352" t="s">
        <v>5474</v>
      </c>
      <c r="O753" s="352" t="s">
        <v>1636</v>
      </c>
      <c r="P753" t="s">
        <v>242</v>
      </c>
    </row>
    <row r="754" spans="12:16" ht="15.9" x14ac:dyDescent="0.45">
      <c r="L754" s="350">
        <v>740386</v>
      </c>
      <c r="M754" s="351" t="s">
        <v>4967</v>
      </c>
      <c r="N754" s="352" t="s">
        <v>5475</v>
      </c>
      <c r="O754" s="352" t="s">
        <v>1638</v>
      </c>
      <c r="P754" t="s">
        <v>242</v>
      </c>
    </row>
    <row r="755" spans="12:16" ht="15.9" x14ac:dyDescent="0.45">
      <c r="L755" s="350">
        <v>740387</v>
      </c>
      <c r="M755" s="351" t="s">
        <v>4968</v>
      </c>
      <c r="N755" s="352" t="s">
        <v>5476</v>
      </c>
      <c r="O755" s="352" t="s">
        <v>1640</v>
      </c>
      <c r="P755" t="s">
        <v>242</v>
      </c>
    </row>
    <row r="756" spans="12:16" ht="15.9" x14ac:dyDescent="0.45">
      <c r="L756" s="350">
        <v>740388</v>
      </c>
      <c r="M756" s="351" t="s">
        <v>4969</v>
      </c>
      <c r="N756" s="352" t="s">
        <v>5477</v>
      </c>
      <c r="O756" s="352" t="s">
        <v>1642</v>
      </c>
      <c r="P756" t="s">
        <v>242</v>
      </c>
    </row>
    <row r="757" spans="12:16" ht="15.9" x14ac:dyDescent="0.45">
      <c r="L757" s="350">
        <v>740389</v>
      </c>
      <c r="M757" s="351" t="s">
        <v>4970</v>
      </c>
      <c r="N757" s="352" t="s">
        <v>5478</v>
      </c>
      <c r="O757" s="352" t="s">
        <v>1644</v>
      </c>
      <c r="P757" t="s">
        <v>242</v>
      </c>
    </row>
    <row r="758" spans="12:16" ht="15.9" x14ac:dyDescent="0.45">
      <c r="L758" s="350">
        <v>740396</v>
      </c>
      <c r="M758" s="351" t="s">
        <v>4971</v>
      </c>
      <c r="N758" s="352" t="s">
        <v>1645</v>
      </c>
      <c r="O758" s="352" t="s">
        <v>1646</v>
      </c>
      <c r="P758" t="s">
        <v>242</v>
      </c>
    </row>
    <row r="759" spans="12:16" ht="15.9" x14ac:dyDescent="0.45">
      <c r="L759" s="350">
        <v>740397</v>
      </c>
      <c r="M759" s="351" t="s">
        <v>4972</v>
      </c>
      <c r="N759" s="352" t="s">
        <v>1647</v>
      </c>
      <c r="O759" s="352" t="s">
        <v>1640</v>
      </c>
      <c r="P759" t="s">
        <v>242</v>
      </c>
    </row>
    <row r="760" spans="12:16" ht="15.9" x14ac:dyDescent="0.45">
      <c r="L760" s="350">
        <v>740398</v>
      </c>
      <c r="M760" s="351" t="s">
        <v>4973</v>
      </c>
      <c r="N760" s="352" t="s">
        <v>5479</v>
      </c>
      <c r="O760" s="352" t="s">
        <v>1648</v>
      </c>
      <c r="P760" t="s">
        <v>242</v>
      </c>
    </row>
    <row r="761" spans="12:16" ht="15.9" x14ac:dyDescent="0.45">
      <c r="L761" s="350">
        <v>740443</v>
      </c>
      <c r="M761" s="351" t="s">
        <v>4975</v>
      </c>
      <c r="N761" s="352" t="s">
        <v>5480</v>
      </c>
      <c r="O761" s="352" t="s">
        <v>1650</v>
      </c>
      <c r="P761" t="s">
        <v>242</v>
      </c>
    </row>
    <row r="762" spans="12:16" ht="15.9" x14ac:dyDescent="0.45">
      <c r="L762" s="350">
        <v>740450</v>
      </c>
      <c r="M762" s="351" t="s">
        <v>4976</v>
      </c>
      <c r="N762" s="352" t="s">
        <v>5481</v>
      </c>
      <c r="O762" s="352" t="s">
        <v>383</v>
      </c>
      <c r="P762" t="s">
        <v>242</v>
      </c>
    </row>
    <row r="763" spans="12:16" ht="15.9" x14ac:dyDescent="0.45">
      <c r="L763" s="350">
        <v>740457</v>
      </c>
      <c r="M763" s="351" t="s">
        <v>4978</v>
      </c>
      <c r="N763" s="352" t="s">
        <v>5482</v>
      </c>
      <c r="O763" s="352" t="s">
        <v>1652</v>
      </c>
      <c r="P763" t="s">
        <v>242</v>
      </c>
    </row>
    <row r="764" spans="12:16" ht="15.9" x14ac:dyDescent="0.45">
      <c r="L764" s="350">
        <v>740459</v>
      </c>
      <c r="M764" s="351" t="s">
        <v>4979</v>
      </c>
      <c r="N764" s="352" t="s">
        <v>5483</v>
      </c>
      <c r="O764" s="352" t="s">
        <v>1653</v>
      </c>
      <c r="P764" t="s">
        <v>242</v>
      </c>
    </row>
    <row r="765" spans="12:16" ht="15.9" x14ac:dyDescent="0.45">
      <c r="L765" s="350">
        <v>740612</v>
      </c>
      <c r="M765" s="351" t="s">
        <v>4980</v>
      </c>
      <c r="N765" s="352" t="s">
        <v>5484</v>
      </c>
      <c r="O765" s="352" t="s">
        <v>1655</v>
      </c>
      <c r="P765" t="s">
        <v>242</v>
      </c>
    </row>
    <row r="766" spans="12:16" ht="15.9" x14ac:dyDescent="0.45">
      <c r="L766" s="350">
        <v>740615</v>
      </c>
      <c r="M766" s="351" t="s">
        <v>4981</v>
      </c>
      <c r="N766" s="352" t="s">
        <v>5485</v>
      </c>
      <c r="O766" s="352" t="s">
        <v>1656</v>
      </c>
      <c r="P766" t="s">
        <v>242</v>
      </c>
    </row>
    <row r="767" spans="12:16" ht="15.9" x14ac:dyDescent="0.45">
      <c r="L767" s="350">
        <v>740617</v>
      </c>
      <c r="M767" s="351" t="s">
        <v>4982</v>
      </c>
      <c r="N767" s="352" t="s">
        <v>5486</v>
      </c>
      <c r="O767" s="352" t="s">
        <v>1658</v>
      </c>
      <c r="P767" t="s">
        <v>242</v>
      </c>
    </row>
    <row r="768" spans="12:16" ht="15.9" x14ac:dyDescent="0.45">
      <c r="L768" s="350">
        <v>740618</v>
      </c>
      <c r="M768" s="351" t="s">
        <v>4983</v>
      </c>
      <c r="N768" s="352" t="s">
        <v>5487</v>
      </c>
      <c r="O768" s="352" t="s">
        <v>1660</v>
      </c>
      <c r="P768" t="s">
        <v>242</v>
      </c>
    </row>
    <row r="769" spans="12:16" ht="15.9" x14ac:dyDescent="0.45">
      <c r="L769" s="350">
        <v>740657</v>
      </c>
      <c r="M769" s="351" t="s">
        <v>4984</v>
      </c>
      <c r="N769" s="352" t="s">
        <v>1661</v>
      </c>
      <c r="O769" s="352" t="s">
        <v>1662</v>
      </c>
      <c r="P769" t="s">
        <v>242</v>
      </c>
    </row>
    <row r="770" spans="12:16" ht="15.9" x14ac:dyDescent="0.45">
      <c r="L770" s="350">
        <v>740664</v>
      </c>
      <c r="M770" s="351" t="s">
        <v>4985</v>
      </c>
      <c r="N770" s="352" t="s">
        <v>1663</v>
      </c>
      <c r="O770" s="370" t="s">
        <v>1664</v>
      </c>
      <c r="P770" t="s">
        <v>242</v>
      </c>
    </row>
    <row r="771" spans="12:16" ht="15.9" x14ac:dyDescent="0.45">
      <c r="L771" s="350">
        <v>740665</v>
      </c>
      <c r="M771" s="351" t="s">
        <v>4986</v>
      </c>
      <c r="N771" s="352" t="s">
        <v>1665</v>
      </c>
      <c r="O771" s="352" t="s">
        <v>1666</v>
      </c>
      <c r="P771" t="s">
        <v>242</v>
      </c>
    </row>
    <row r="772" spans="12:16" ht="15.9" x14ac:dyDescent="0.45">
      <c r="L772" s="350">
        <v>740666</v>
      </c>
      <c r="M772" s="351" t="s">
        <v>4987</v>
      </c>
      <c r="N772" s="352" t="s">
        <v>1667</v>
      </c>
      <c r="O772" s="352" t="s">
        <v>1668</v>
      </c>
      <c r="P772" t="s">
        <v>242</v>
      </c>
    </row>
    <row r="773" spans="12:16" ht="15.9" x14ac:dyDescent="0.45">
      <c r="L773" s="350">
        <v>740668</v>
      </c>
      <c r="M773" s="351" t="s">
        <v>4988</v>
      </c>
      <c r="N773" s="352" t="s">
        <v>4990</v>
      </c>
      <c r="O773" s="352" t="s">
        <v>1669</v>
      </c>
      <c r="P773" t="s">
        <v>242</v>
      </c>
    </row>
    <row r="774" spans="12:16" ht="15.9" x14ac:dyDescent="0.45">
      <c r="L774" s="350">
        <v>740671</v>
      </c>
      <c r="M774" s="351" t="s">
        <v>3226</v>
      </c>
      <c r="N774" s="352" t="s">
        <v>1670</v>
      </c>
      <c r="O774" s="352" t="s">
        <v>1671</v>
      </c>
      <c r="P774" t="s">
        <v>242</v>
      </c>
    </row>
    <row r="775" spans="12:16" ht="15.9" x14ac:dyDescent="0.45">
      <c r="L775" s="350">
        <v>740672</v>
      </c>
      <c r="M775" s="351" t="s">
        <v>4992</v>
      </c>
      <c r="N775" s="352" t="s">
        <v>1672</v>
      </c>
      <c r="O775" s="352" t="s">
        <v>1673</v>
      </c>
      <c r="P775" t="s">
        <v>242</v>
      </c>
    </row>
    <row r="776" spans="12:16" ht="15.9" x14ac:dyDescent="0.45">
      <c r="L776" s="350">
        <v>740674</v>
      </c>
      <c r="M776" s="351" t="s">
        <v>4993</v>
      </c>
      <c r="N776" s="352" t="s">
        <v>5488</v>
      </c>
      <c r="O776" s="352" t="s">
        <v>1676</v>
      </c>
      <c r="P776" t="s">
        <v>242</v>
      </c>
    </row>
    <row r="777" spans="12:16" ht="15.9" x14ac:dyDescent="0.45">
      <c r="L777" s="350">
        <v>740675</v>
      </c>
      <c r="M777" s="351" t="s">
        <v>4995</v>
      </c>
      <c r="N777" s="352" t="s">
        <v>5489</v>
      </c>
      <c r="O777" s="352" t="s">
        <v>1678</v>
      </c>
      <c r="P777" t="s">
        <v>242</v>
      </c>
    </row>
    <row r="778" spans="12:16" ht="15.9" x14ac:dyDescent="0.45">
      <c r="L778" s="350">
        <v>740677</v>
      </c>
      <c r="M778" s="351" t="s">
        <v>4996</v>
      </c>
      <c r="N778" s="352" t="s">
        <v>1679</v>
      </c>
      <c r="O778" s="352" t="s">
        <v>1680</v>
      </c>
      <c r="P778" t="s">
        <v>242</v>
      </c>
    </row>
    <row r="779" spans="12:16" ht="15.9" x14ac:dyDescent="0.45">
      <c r="L779" s="350">
        <v>740678</v>
      </c>
      <c r="M779" s="351" t="s">
        <v>4997</v>
      </c>
      <c r="N779" s="352" t="s">
        <v>1681</v>
      </c>
      <c r="O779" s="352" t="s">
        <v>1682</v>
      </c>
      <c r="P779" t="s">
        <v>242</v>
      </c>
    </row>
    <row r="780" spans="12:16" ht="15.9" x14ac:dyDescent="0.45">
      <c r="L780" s="350">
        <v>740681</v>
      </c>
      <c r="M780" s="351" t="s">
        <v>4998</v>
      </c>
      <c r="N780" s="352" t="s">
        <v>1683</v>
      </c>
      <c r="O780" s="352" t="s">
        <v>1684</v>
      </c>
      <c r="P780" t="s">
        <v>242</v>
      </c>
    </row>
    <row r="781" spans="12:16" ht="15.9" x14ac:dyDescent="0.45">
      <c r="L781" s="350">
        <v>740717</v>
      </c>
      <c r="M781" s="351" t="s">
        <v>4999</v>
      </c>
      <c r="N781" s="352" t="s">
        <v>1686</v>
      </c>
      <c r="O781" s="352" t="s">
        <v>1687</v>
      </c>
      <c r="P781" t="s">
        <v>242</v>
      </c>
    </row>
    <row r="782" spans="12:16" ht="15.9" x14ac:dyDescent="0.45">
      <c r="L782" s="350">
        <v>740732</v>
      </c>
      <c r="M782" s="351" t="s">
        <v>5001</v>
      </c>
      <c r="N782" s="352" t="s">
        <v>5002</v>
      </c>
      <c r="O782" s="352" t="s">
        <v>1688</v>
      </c>
      <c r="P782" t="s">
        <v>242</v>
      </c>
    </row>
    <row r="783" spans="12:16" ht="15.9" x14ac:dyDescent="0.45">
      <c r="L783" s="350">
        <v>740733</v>
      </c>
      <c r="M783" s="351" t="s">
        <v>5003</v>
      </c>
      <c r="N783" s="352" t="s">
        <v>1689</v>
      </c>
      <c r="O783" s="352" t="s">
        <v>1690</v>
      </c>
      <c r="P783" t="s">
        <v>242</v>
      </c>
    </row>
    <row r="784" spans="12:16" ht="15.9" x14ac:dyDescent="0.45">
      <c r="L784" s="350">
        <v>740735</v>
      </c>
      <c r="M784" s="351" t="s">
        <v>5004</v>
      </c>
      <c r="N784" s="352" t="s">
        <v>1692</v>
      </c>
      <c r="O784" s="352" t="s">
        <v>1693</v>
      </c>
      <c r="P784" t="s">
        <v>242</v>
      </c>
    </row>
    <row r="785" spans="12:16" ht="15.9" x14ac:dyDescent="0.45">
      <c r="L785" s="350">
        <v>740870</v>
      </c>
      <c r="M785" s="351" t="s">
        <v>5006</v>
      </c>
      <c r="N785" s="352" t="s">
        <v>5007</v>
      </c>
      <c r="O785" s="352" t="s">
        <v>383</v>
      </c>
      <c r="P785" t="s">
        <v>242</v>
      </c>
    </row>
    <row r="786" spans="12:16" ht="15.9" x14ac:dyDescent="0.45">
      <c r="L786" s="350">
        <v>740873</v>
      </c>
      <c r="M786" s="351" t="s">
        <v>5008</v>
      </c>
      <c r="N786" s="352" t="s">
        <v>5010</v>
      </c>
      <c r="O786" s="352" t="s">
        <v>1694</v>
      </c>
      <c r="P786" t="s">
        <v>242</v>
      </c>
    </row>
    <row r="787" spans="12:16" ht="15.9" x14ac:dyDescent="0.45">
      <c r="L787" s="350">
        <v>740874</v>
      </c>
      <c r="M787" s="351" t="s">
        <v>5011</v>
      </c>
      <c r="N787" s="352" t="s">
        <v>5490</v>
      </c>
      <c r="O787" s="352" t="s">
        <v>383</v>
      </c>
      <c r="P787" t="s">
        <v>242</v>
      </c>
    </row>
    <row r="788" spans="12:16" ht="15.9" x14ac:dyDescent="0.45">
      <c r="L788" s="350">
        <v>740883</v>
      </c>
      <c r="M788" s="351" t="s">
        <v>5014</v>
      </c>
      <c r="N788" s="352" t="s">
        <v>1695</v>
      </c>
      <c r="O788" s="352" t="s">
        <v>1696</v>
      </c>
      <c r="P788" t="s">
        <v>242</v>
      </c>
    </row>
    <row r="789" spans="12:16" ht="15.9" x14ac:dyDescent="0.45">
      <c r="L789" s="350">
        <v>740884</v>
      </c>
      <c r="M789" s="351" t="s">
        <v>5015</v>
      </c>
      <c r="N789" s="352" t="s">
        <v>1697</v>
      </c>
      <c r="O789" s="352" t="s">
        <v>1698</v>
      </c>
      <c r="P789" t="s">
        <v>242</v>
      </c>
    </row>
    <row r="790" spans="12:16" ht="15.9" x14ac:dyDescent="0.45">
      <c r="L790" s="350">
        <v>744701</v>
      </c>
      <c r="M790" s="351" t="s">
        <v>5017</v>
      </c>
      <c r="N790" s="352" t="s">
        <v>1700</v>
      </c>
      <c r="O790" s="352" t="s">
        <v>1701</v>
      </c>
      <c r="P790" t="s">
        <v>242</v>
      </c>
    </row>
    <row r="791" spans="12:16" ht="15.9" x14ac:dyDescent="0.45">
      <c r="L791" s="350">
        <v>750172</v>
      </c>
      <c r="M791" s="351" t="s">
        <v>5018</v>
      </c>
      <c r="N791" s="352" t="s">
        <v>1702</v>
      </c>
      <c r="O791" s="352" t="s">
        <v>1703</v>
      </c>
      <c r="P791" t="s">
        <v>242</v>
      </c>
    </row>
    <row r="792" spans="12:16" ht="15.9" x14ac:dyDescent="0.45">
      <c r="L792" s="350">
        <v>750175</v>
      </c>
      <c r="M792" s="351" t="s">
        <v>5019</v>
      </c>
      <c r="N792" s="352" t="s">
        <v>1704</v>
      </c>
      <c r="O792" s="352" t="s">
        <v>1705</v>
      </c>
      <c r="P792" t="s">
        <v>242</v>
      </c>
    </row>
    <row r="793" spans="12:16" ht="15.9" x14ac:dyDescent="0.45">
      <c r="L793" s="350">
        <v>750177</v>
      </c>
      <c r="M793" s="351" t="s">
        <v>5020</v>
      </c>
      <c r="N793" s="352" t="s">
        <v>1706</v>
      </c>
      <c r="O793" s="352" t="s">
        <v>1707</v>
      </c>
      <c r="P793" t="s">
        <v>242</v>
      </c>
    </row>
    <row r="794" spans="12:16" ht="15.9" x14ac:dyDescent="0.45">
      <c r="L794" s="350">
        <v>750178</v>
      </c>
      <c r="M794" s="351" t="s">
        <v>5022</v>
      </c>
      <c r="N794" s="352" t="s">
        <v>5023</v>
      </c>
      <c r="O794" s="352" t="s">
        <v>1708</v>
      </c>
      <c r="P794" t="s">
        <v>242</v>
      </c>
    </row>
    <row r="795" spans="12:16" ht="15.9" x14ac:dyDescent="0.45">
      <c r="L795" s="350">
        <v>750179</v>
      </c>
      <c r="M795" s="351" t="s">
        <v>5024</v>
      </c>
      <c r="N795" s="352" t="s">
        <v>1709</v>
      </c>
      <c r="O795" s="352" t="s">
        <v>1710</v>
      </c>
      <c r="P795" t="s">
        <v>242</v>
      </c>
    </row>
    <row r="796" spans="12:16" ht="15.9" x14ac:dyDescent="0.45">
      <c r="L796" s="350">
        <v>750211</v>
      </c>
      <c r="M796" s="351" t="s">
        <v>3263</v>
      </c>
      <c r="N796" s="352" t="s">
        <v>1712</v>
      </c>
      <c r="O796" s="352" t="s">
        <v>1713</v>
      </c>
      <c r="P796" t="s">
        <v>242</v>
      </c>
    </row>
    <row r="797" spans="12:16" ht="15.9" x14ac:dyDescent="0.45">
      <c r="L797" s="350">
        <v>750340</v>
      </c>
      <c r="M797" s="351" t="s">
        <v>5025</v>
      </c>
      <c r="N797" s="352" t="s">
        <v>3755</v>
      </c>
      <c r="O797" s="352" t="s">
        <v>383</v>
      </c>
      <c r="P797" t="s">
        <v>242</v>
      </c>
    </row>
    <row r="798" spans="12:16" ht="15.9" x14ac:dyDescent="0.45">
      <c r="L798" s="350">
        <v>750347</v>
      </c>
      <c r="M798" s="351" t="s">
        <v>5027</v>
      </c>
      <c r="N798" s="352" t="s">
        <v>1714</v>
      </c>
      <c r="O798" s="352" t="s">
        <v>1715</v>
      </c>
      <c r="P798" t="s">
        <v>242</v>
      </c>
    </row>
    <row r="799" spans="12:16" ht="15.9" x14ac:dyDescent="0.45">
      <c r="L799" s="350">
        <v>750348</v>
      </c>
      <c r="M799" s="351" t="s">
        <v>5028</v>
      </c>
      <c r="N799" s="352" t="s">
        <v>5029</v>
      </c>
      <c r="O799" s="352" t="s">
        <v>383</v>
      </c>
      <c r="P799" t="s">
        <v>242</v>
      </c>
    </row>
    <row r="800" spans="12:16" ht="15.9" x14ac:dyDescent="0.45">
      <c r="L800" s="350">
        <v>750349</v>
      </c>
      <c r="M800" s="351" t="s">
        <v>5030</v>
      </c>
      <c r="N800" s="352" t="s">
        <v>1717</v>
      </c>
      <c r="O800" s="352" t="s">
        <v>1718</v>
      </c>
      <c r="P800" t="s">
        <v>242</v>
      </c>
    </row>
    <row r="801" spans="12:16" ht="15.9" x14ac:dyDescent="0.45">
      <c r="L801" s="350">
        <v>750371</v>
      </c>
      <c r="M801" s="351" t="s">
        <v>5032</v>
      </c>
      <c r="N801" s="352" t="s">
        <v>5033</v>
      </c>
      <c r="O801" s="352" t="s">
        <v>1719</v>
      </c>
      <c r="P801" t="s">
        <v>242</v>
      </c>
    </row>
    <row r="802" spans="12:16" ht="15.9" x14ac:dyDescent="0.45">
      <c r="L802" s="350">
        <v>750422</v>
      </c>
      <c r="M802" s="351" t="s">
        <v>5034</v>
      </c>
      <c r="N802" s="352" t="s">
        <v>1720</v>
      </c>
      <c r="O802" s="352" t="s">
        <v>1721</v>
      </c>
      <c r="P802" t="s">
        <v>242</v>
      </c>
    </row>
    <row r="803" spans="12:16" ht="15.9" x14ac:dyDescent="0.45">
      <c r="L803" s="350">
        <v>750423</v>
      </c>
      <c r="M803" s="351" t="s">
        <v>5035</v>
      </c>
      <c r="N803" s="352" t="s">
        <v>1722</v>
      </c>
      <c r="O803" s="352" t="s">
        <v>1723</v>
      </c>
      <c r="P803" t="s">
        <v>242</v>
      </c>
    </row>
    <row r="804" spans="12:16" ht="15.9" x14ac:dyDescent="0.45">
      <c r="L804" s="350">
        <v>750426</v>
      </c>
      <c r="M804" s="351" t="s">
        <v>5036</v>
      </c>
      <c r="N804" s="352" t="s">
        <v>1724</v>
      </c>
      <c r="O804" s="352" t="s">
        <v>1725</v>
      </c>
      <c r="P804" t="s">
        <v>242</v>
      </c>
    </row>
    <row r="805" spans="12:16" ht="15.9" x14ac:dyDescent="0.45">
      <c r="L805" s="350">
        <v>750427</v>
      </c>
      <c r="M805" s="351" t="s">
        <v>5037</v>
      </c>
      <c r="N805" s="352" t="s">
        <v>1726</v>
      </c>
      <c r="O805" s="352" t="s">
        <v>1727</v>
      </c>
      <c r="P805" t="s">
        <v>242</v>
      </c>
    </row>
    <row r="806" spans="12:16" ht="15.9" x14ac:dyDescent="0.45">
      <c r="L806" s="350">
        <v>750429</v>
      </c>
      <c r="M806" s="351" t="s">
        <v>3275</v>
      </c>
      <c r="N806" s="352" t="s">
        <v>1729</v>
      </c>
      <c r="O806" s="352" t="s">
        <v>1730</v>
      </c>
      <c r="P806" t="s">
        <v>242</v>
      </c>
    </row>
    <row r="807" spans="12:16" ht="15.9" x14ac:dyDescent="0.45">
      <c r="L807" s="350">
        <v>750440</v>
      </c>
      <c r="M807" s="351" t="s">
        <v>5038</v>
      </c>
      <c r="N807" s="352" t="s">
        <v>1731</v>
      </c>
      <c r="O807" s="352" t="s">
        <v>383</v>
      </c>
      <c r="P807" t="s">
        <v>242</v>
      </c>
    </row>
    <row r="808" spans="12:16" ht="15.9" x14ac:dyDescent="0.45">
      <c r="L808" s="350">
        <v>750570</v>
      </c>
      <c r="M808" s="351" t="s">
        <v>5039</v>
      </c>
      <c r="N808" s="352" t="s">
        <v>1732</v>
      </c>
      <c r="O808" s="352" t="s">
        <v>383</v>
      </c>
      <c r="P808" t="s">
        <v>242</v>
      </c>
    </row>
    <row r="809" spans="12:16" ht="15.9" x14ac:dyDescent="0.45">
      <c r="L809" s="350">
        <v>750581</v>
      </c>
      <c r="M809" s="351" t="s">
        <v>5040</v>
      </c>
      <c r="N809" s="352" t="s">
        <v>5042</v>
      </c>
      <c r="O809" s="352" t="s">
        <v>1733</v>
      </c>
      <c r="P809" t="s">
        <v>242</v>
      </c>
    </row>
    <row r="810" spans="12:16" ht="15.9" x14ac:dyDescent="0.45">
      <c r="L810" s="350">
        <v>750582</v>
      </c>
      <c r="M810" s="351" t="s">
        <v>5043</v>
      </c>
      <c r="N810" s="352" t="s">
        <v>1734</v>
      </c>
      <c r="O810" s="352" t="s">
        <v>1735</v>
      </c>
      <c r="P810" t="s">
        <v>242</v>
      </c>
    </row>
    <row r="811" spans="12:16" ht="15.9" x14ac:dyDescent="0.45">
      <c r="L811" s="350">
        <v>750583</v>
      </c>
      <c r="M811" s="351" t="s">
        <v>5044</v>
      </c>
      <c r="N811" s="352" t="s">
        <v>5045</v>
      </c>
      <c r="O811" s="352" t="s">
        <v>1737</v>
      </c>
      <c r="P811" t="s">
        <v>242</v>
      </c>
    </row>
    <row r="812" spans="12:16" ht="15.9" x14ac:dyDescent="0.45">
      <c r="L812" s="350">
        <v>750600</v>
      </c>
      <c r="M812" s="351" t="s">
        <v>5046</v>
      </c>
      <c r="N812" s="352" t="s">
        <v>5047</v>
      </c>
      <c r="O812" s="352" t="s">
        <v>383</v>
      </c>
      <c r="P812" t="s">
        <v>242</v>
      </c>
    </row>
    <row r="813" spans="12:16" ht="15.9" x14ac:dyDescent="0.45">
      <c r="L813" s="350">
        <v>750611</v>
      </c>
      <c r="M813" s="351" t="s">
        <v>5048</v>
      </c>
      <c r="N813" s="352" t="s">
        <v>1738</v>
      </c>
      <c r="O813" s="352" t="s">
        <v>1739</v>
      </c>
      <c r="P813" t="s">
        <v>242</v>
      </c>
    </row>
    <row r="814" spans="12:16" ht="15.9" x14ac:dyDescent="0.45">
      <c r="L814" s="350">
        <v>750612</v>
      </c>
      <c r="M814" s="351" t="s">
        <v>5050</v>
      </c>
      <c r="N814" s="352" t="s">
        <v>1740</v>
      </c>
      <c r="O814" s="352" t="s">
        <v>1741</v>
      </c>
      <c r="P814" t="s">
        <v>242</v>
      </c>
    </row>
    <row r="815" spans="12:16" ht="15.9" x14ac:dyDescent="0.45">
      <c r="L815" s="350">
        <v>750663</v>
      </c>
      <c r="M815" s="351" t="s">
        <v>5051</v>
      </c>
      <c r="N815" s="352" t="s">
        <v>1742</v>
      </c>
      <c r="O815" s="352" t="s">
        <v>1743</v>
      </c>
      <c r="P815" t="s">
        <v>242</v>
      </c>
    </row>
    <row r="816" spans="12:16" ht="15.9" x14ac:dyDescent="0.45">
      <c r="L816" s="350">
        <v>750811</v>
      </c>
      <c r="M816" s="351" t="s">
        <v>5052</v>
      </c>
      <c r="N816" s="352" t="s">
        <v>1744</v>
      </c>
      <c r="O816" s="352" t="s">
        <v>1745</v>
      </c>
      <c r="P816" t="s">
        <v>242</v>
      </c>
    </row>
    <row r="817" spans="12:16" ht="15.9" x14ac:dyDescent="0.45">
      <c r="L817" s="350">
        <v>750812</v>
      </c>
      <c r="M817" s="351" t="s">
        <v>5053</v>
      </c>
      <c r="N817" s="352" t="s">
        <v>5054</v>
      </c>
      <c r="O817" s="352" t="s">
        <v>1746</v>
      </c>
      <c r="P817" t="s">
        <v>242</v>
      </c>
    </row>
    <row r="818" spans="12:16" ht="15.9" x14ac:dyDescent="0.45">
      <c r="L818" s="350">
        <v>750819</v>
      </c>
      <c r="M818" s="351" t="s">
        <v>5056</v>
      </c>
      <c r="N818" s="352" t="s">
        <v>1747</v>
      </c>
      <c r="O818" s="352" t="s">
        <v>1748</v>
      </c>
      <c r="P818" t="s">
        <v>242</v>
      </c>
    </row>
    <row r="819" spans="12:16" ht="15.9" x14ac:dyDescent="0.45">
      <c r="L819" s="350">
        <v>750835</v>
      </c>
      <c r="M819" s="351" t="s">
        <v>5057</v>
      </c>
      <c r="N819" s="352" t="s">
        <v>1749</v>
      </c>
      <c r="O819" s="352" t="s">
        <v>1750</v>
      </c>
      <c r="P819" t="s">
        <v>242</v>
      </c>
    </row>
    <row r="820" spans="12:16" ht="15.9" x14ac:dyDescent="0.45">
      <c r="L820" s="350">
        <v>751121</v>
      </c>
      <c r="M820" s="351" t="s">
        <v>5058</v>
      </c>
      <c r="N820" s="352" t="s">
        <v>1751</v>
      </c>
      <c r="O820" s="352" t="s">
        <v>383</v>
      </c>
      <c r="P820" t="s">
        <v>242</v>
      </c>
    </row>
    <row r="821" spans="12:16" ht="15.9" x14ac:dyDescent="0.45">
      <c r="L821" s="350">
        <v>751721</v>
      </c>
      <c r="M821" s="351" t="s">
        <v>5060</v>
      </c>
      <c r="N821" s="352" t="s">
        <v>1752</v>
      </c>
      <c r="O821" s="352" t="s">
        <v>383</v>
      </c>
      <c r="P821" t="s">
        <v>242</v>
      </c>
    </row>
    <row r="822" spans="12:16" ht="15.9" x14ac:dyDescent="0.45">
      <c r="L822" s="350">
        <v>754221</v>
      </c>
      <c r="M822" s="351" t="s">
        <v>3305</v>
      </c>
      <c r="N822" s="352" t="s">
        <v>1753</v>
      </c>
      <c r="O822" s="352" t="s">
        <v>383</v>
      </c>
      <c r="P822" t="s">
        <v>242</v>
      </c>
    </row>
    <row r="823" spans="12:16" ht="15.9" x14ac:dyDescent="0.45">
      <c r="L823" s="350">
        <v>760111</v>
      </c>
      <c r="M823" s="351" t="s">
        <v>5062</v>
      </c>
      <c r="N823" s="352" t="s">
        <v>1754</v>
      </c>
      <c r="O823" s="352" t="s">
        <v>1755</v>
      </c>
      <c r="P823" t="s">
        <v>242</v>
      </c>
    </row>
    <row r="824" spans="12:16" ht="15.9" x14ac:dyDescent="0.45">
      <c r="L824" s="350">
        <v>760130</v>
      </c>
      <c r="M824" s="351" t="s">
        <v>5063</v>
      </c>
      <c r="N824" s="352" t="s">
        <v>5064</v>
      </c>
      <c r="O824" s="352" t="s">
        <v>383</v>
      </c>
      <c r="P824" t="s">
        <v>242</v>
      </c>
    </row>
    <row r="825" spans="12:16" ht="15.9" x14ac:dyDescent="0.45">
      <c r="L825" s="350">
        <v>760330</v>
      </c>
      <c r="M825" s="351" t="s">
        <v>5065</v>
      </c>
      <c r="N825" s="352" t="s">
        <v>1756</v>
      </c>
      <c r="O825" s="352" t="s">
        <v>383</v>
      </c>
      <c r="P825" t="s">
        <v>242</v>
      </c>
    </row>
    <row r="826" spans="12:16" ht="15.9" x14ac:dyDescent="0.45">
      <c r="L826" s="350">
        <v>760350</v>
      </c>
      <c r="M826" s="351" t="s">
        <v>3310</v>
      </c>
      <c r="N826" s="352" t="s">
        <v>1758</v>
      </c>
      <c r="O826" s="352" t="s">
        <v>383</v>
      </c>
      <c r="P826" t="s">
        <v>242</v>
      </c>
    </row>
    <row r="827" spans="12:16" ht="15.9" x14ac:dyDescent="0.45">
      <c r="L827" s="350">
        <v>760511</v>
      </c>
      <c r="M827" s="351" t="s">
        <v>3309</v>
      </c>
      <c r="N827" s="352" t="s">
        <v>1760</v>
      </c>
      <c r="O827" s="352" t="s">
        <v>1761</v>
      </c>
      <c r="P827" t="s">
        <v>242</v>
      </c>
    </row>
    <row r="828" spans="12:16" ht="15.9" x14ac:dyDescent="0.45">
      <c r="L828" s="350">
        <v>760512</v>
      </c>
      <c r="M828" s="351" t="s">
        <v>5066</v>
      </c>
      <c r="N828" s="352" t="s">
        <v>1762</v>
      </c>
      <c r="O828" s="352" t="s">
        <v>1763</v>
      </c>
      <c r="P828" t="s">
        <v>242</v>
      </c>
    </row>
    <row r="829" spans="12:16" ht="15.9" x14ac:dyDescent="0.45">
      <c r="L829" s="350">
        <v>811143</v>
      </c>
      <c r="M829" s="351" t="s">
        <v>5067</v>
      </c>
      <c r="N829" s="352" t="s">
        <v>1764</v>
      </c>
      <c r="O829" s="352" t="s">
        <v>383</v>
      </c>
      <c r="P829" t="s">
        <v>242</v>
      </c>
    </row>
    <row r="830" spans="12:16" ht="15.9" x14ac:dyDescent="0.45">
      <c r="L830" s="350">
        <v>811144</v>
      </c>
      <c r="M830" s="351" t="s">
        <v>5068</v>
      </c>
      <c r="N830" s="352" t="s">
        <v>1764</v>
      </c>
      <c r="O830" s="352" t="s">
        <v>1765</v>
      </c>
      <c r="P830" t="s">
        <v>242</v>
      </c>
    </row>
    <row r="831" spans="12:16" ht="15.9" x14ac:dyDescent="0.45">
      <c r="L831" s="350">
        <v>811145</v>
      </c>
      <c r="M831" s="351" t="s">
        <v>5069</v>
      </c>
      <c r="N831" s="352" t="s">
        <v>3756</v>
      </c>
      <c r="O831" s="352" t="s">
        <v>1766</v>
      </c>
      <c r="P831" t="s">
        <v>242</v>
      </c>
    </row>
    <row r="832" spans="12:16" ht="15.9" x14ac:dyDescent="0.45">
      <c r="L832" s="350">
        <v>811146</v>
      </c>
      <c r="M832" s="351" t="s">
        <v>5071</v>
      </c>
      <c r="N832" s="352" t="s">
        <v>1768</v>
      </c>
      <c r="O832" s="352" t="s">
        <v>383</v>
      </c>
      <c r="P832" t="s">
        <v>242</v>
      </c>
    </row>
    <row r="833" spans="12:16" ht="15.9" x14ac:dyDescent="0.45">
      <c r="L833" s="350">
        <v>811147</v>
      </c>
      <c r="M833" s="351" t="s">
        <v>5073</v>
      </c>
      <c r="N833" s="352" t="s">
        <v>1769</v>
      </c>
      <c r="O833" s="352" t="s">
        <v>1770</v>
      </c>
      <c r="P833" t="s">
        <v>242</v>
      </c>
    </row>
    <row r="834" spans="12:16" ht="15.9" x14ac:dyDescent="0.45">
      <c r="L834" s="350">
        <v>811149</v>
      </c>
      <c r="M834" s="351" t="s">
        <v>5075</v>
      </c>
      <c r="N834" s="352" t="s">
        <v>1771</v>
      </c>
      <c r="O834" s="352" t="s">
        <v>1772</v>
      </c>
      <c r="P834" t="s">
        <v>242</v>
      </c>
    </row>
    <row r="835" spans="12:16" ht="15.9" x14ac:dyDescent="0.45">
      <c r="L835" s="350">
        <v>811600</v>
      </c>
      <c r="M835" s="351" t="s">
        <v>5076</v>
      </c>
      <c r="N835" s="352" t="s">
        <v>5077</v>
      </c>
      <c r="O835" s="352" t="s">
        <v>383</v>
      </c>
      <c r="P835" t="s">
        <v>242</v>
      </c>
    </row>
    <row r="836" spans="12:16" ht="15.9" x14ac:dyDescent="0.45">
      <c r="L836" s="350">
        <v>811601</v>
      </c>
      <c r="M836" s="351" t="s">
        <v>5078</v>
      </c>
      <c r="N836" s="352" t="s">
        <v>5079</v>
      </c>
      <c r="O836" s="352" t="s">
        <v>383</v>
      </c>
      <c r="P836" t="s">
        <v>242</v>
      </c>
    </row>
    <row r="837" spans="12:16" ht="15.9" x14ac:dyDescent="0.45">
      <c r="L837" s="350">
        <v>812223</v>
      </c>
      <c r="M837" s="351" t="s">
        <v>5081</v>
      </c>
      <c r="N837" s="352" t="s">
        <v>5082</v>
      </c>
      <c r="O837" s="352" t="s">
        <v>1773</v>
      </c>
      <c r="P837" t="s">
        <v>242</v>
      </c>
    </row>
    <row r="838" spans="12:16" ht="15.9" x14ac:dyDescent="0.45">
      <c r="L838" s="350">
        <v>812224</v>
      </c>
      <c r="M838" s="351" t="s">
        <v>5083</v>
      </c>
      <c r="N838" s="352" t="s">
        <v>1774</v>
      </c>
      <c r="O838" s="352" t="s">
        <v>1775</v>
      </c>
      <c r="P838" t="s">
        <v>242</v>
      </c>
    </row>
    <row r="839" spans="12:16" ht="15.9" x14ac:dyDescent="0.45">
      <c r="L839" s="350">
        <v>812225</v>
      </c>
      <c r="M839" s="351" t="s">
        <v>5084</v>
      </c>
      <c r="N839" s="352" t="s">
        <v>5085</v>
      </c>
      <c r="O839" s="352" t="s">
        <v>1776</v>
      </c>
      <c r="P839" t="s">
        <v>242</v>
      </c>
    </row>
    <row r="840" spans="12:16" ht="15.9" x14ac:dyDescent="0.45">
      <c r="L840" s="350">
        <v>812226</v>
      </c>
      <c r="M840" s="351" t="s">
        <v>5086</v>
      </c>
      <c r="N840" s="352" t="s">
        <v>1777</v>
      </c>
      <c r="O840" s="352" t="s">
        <v>1778</v>
      </c>
      <c r="P840" t="s">
        <v>242</v>
      </c>
    </row>
    <row r="841" spans="12:16" ht="15.9" x14ac:dyDescent="0.45">
      <c r="L841" s="350">
        <v>812410</v>
      </c>
      <c r="M841" s="351" t="s">
        <v>5087</v>
      </c>
      <c r="N841" s="352" t="s">
        <v>5088</v>
      </c>
      <c r="O841" s="352" t="s">
        <v>383</v>
      </c>
      <c r="P841" t="s">
        <v>242</v>
      </c>
    </row>
    <row r="842" spans="12:16" ht="15.9" x14ac:dyDescent="0.45">
      <c r="L842" s="350">
        <v>812420</v>
      </c>
      <c r="M842" s="351" t="s">
        <v>5089</v>
      </c>
      <c r="N842" s="352" t="s">
        <v>5090</v>
      </c>
      <c r="O842" s="352" t="s">
        <v>383</v>
      </c>
      <c r="P842" t="s">
        <v>242</v>
      </c>
    </row>
    <row r="843" spans="12:16" ht="15.9" x14ac:dyDescent="0.45">
      <c r="L843" s="350">
        <v>812430</v>
      </c>
      <c r="M843" s="351" t="s">
        <v>5091</v>
      </c>
      <c r="N843" s="352" t="s">
        <v>5092</v>
      </c>
      <c r="O843" s="352" t="s">
        <v>383</v>
      </c>
      <c r="P843" t="s">
        <v>242</v>
      </c>
    </row>
    <row r="844" spans="12:16" ht="15.9" x14ac:dyDescent="0.45">
      <c r="L844" s="350">
        <v>812926</v>
      </c>
      <c r="M844" s="351" t="s">
        <v>5093</v>
      </c>
      <c r="N844" s="352" t="s">
        <v>1779</v>
      </c>
      <c r="O844" s="352" t="s">
        <v>1780</v>
      </c>
      <c r="P844" t="s">
        <v>242</v>
      </c>
    </row>
    <row r="845" spans="12:16" ht="15.9" x14ac:dyDescent="0.45">
      <c r="L845" s="350">
        <v>812928</v>
      </c>
      <c r="M845" s="351" t="s">
        <v>5094</v>
      </c>
      <c r="N845" s="352" t="s">
        <v>1782</v>
      </c>
      <c r="O845" s="352" t="s">
        <v>383</v>
      </c>
      <c r="P845" t="s">
        <v>242</v>
      </c>
    </row>
    <row r="846" spans="12:16" ht="15.9" x14ac:dyDescent="0.45">
      <c r="L846" s="350">
        <v>813228</v>
      </c>
      <c r="M846" s="351" t="s">
        <v>5095</v>
      </c>
      <c r="N846" s="352" t="s">
        <v>1783</v>
      </c>
      <c r="O846" s="352" t="s">
        <v>1784</v>
      </c>
      <c r="P846" t="s">
        <v>242</v>
      </c>
    </row>
    <row r="847" spans="12:16" ht="15.9" x14ac:dyDescent="0.45">
      <c r="L847" s="350">
        <v>813231</v>
      </c>
      <c r="M847" s="351" t="s">
        <v>5096</v>
      </c>
      <c r="N847" s="352" t="s">
        <v>3758</v>
      </c>
      <c r="O847" s="352" t="s">
        <v>1785</v>
      </c>
      <c r="P847" t="s">
        <v>242</v>
      </c>
    </row>
    <row r="848" spans="12:16" ht="15.9" x14ac:dyDescent="0.45">
      <c r="L848" s="350">
        <v>813301</v>
      </c>
      <c r="M848" s="351" t="s">
        <v>5097</v>
      </c>
      <c r="N848" s="352" t="s">
        <v>5098</v>
      </c>
      <c r="O848" s="352" t="s">
        <v>383</v>
      </c>
      <c r="P848" t="s">
        <v>242</v>
      </c>
    </row>
    <row r="849" spans="12:16" ht="15.9" x14ac:dyDescent="0.45">
      <c r="L849" s="350">
        <v>813321</v>
      </c>
      <c r="M849" s="351" t="s">
        <v>5099</v>
      </c>
      <c r="N849" s="352" t="s">
        <v>1787</v>
      </c>
      <c r="O849" s="352" t="s">
        <v>383</v>
      </c>
      <c r="P849" t="s">
        <v>242</v>
      </c>
    </row>
    <row r="850" spans="12:16" ht="15.9" x14ac:dyDescent="0.45">
      <c r="L850" s="350">
        <v>813400</v>
      </c>
      <c r="M850" s="351" t="s">
        <v>3344</v>
      </c>
      <c r="N850" s="352" t="s">
        <v>1788</v>
      </c>
      <c r="O850" s="352" t="s">
        <v>383</v>
      </c>
      <c r="P850" t="s">
        <v>242</v>
      </c>
    </row>
    <row r="851" spans="12:16" ht="15.9" x14ac:dyDescent="0.45">
      <c r="L851" s="350">
        <v>821111</v>
      </c>
      <c r="M851" s="351" t="s">
        <v>5100</v>
      </c>
      <c r="N851" s="352" t="s">
        <v>1790</v>
      </c>
      <c r="O851" s="352" t="s">
        <v>1791</v>
      </c>
      <c r="P851" t="s">
        <v>242</v>
      </c>
    </row>
    <row r="852" spans="12:16" ht="15.9" x14ac:dyDescent="0.45">
      <c r="L852" s="350">
        <v>821112</v>
      </c>
      <c r="M852" s="351" t="s">
        <v>5101</v>
      </c>
      <c r="N852" s="352" t="s">
        <v>1792</v>
      </c>
      <c r="O852" s="352" t="s">
        <v>1793</v>
      </c>
      <c r="P852" t="s">
        <v>242</v>
      </c>
    </row>
    <row r="853" spans="12:16" ht="15.9" x14ac:dyDescent="0.45">
      <c r="L853" s="350">
        <v>821113</v>
      </c>
      <c r="M853" s="351" t="s">
        <v>5102</v>
      </c>
      <c r="N853" s="352" t="s">
        <v>1794</v>
      </c>
      <c r="O853" s="352" t="s">
        <v>1795</v>
      </c>
      <c r="P853" t="s">
        <v>242</v>
      </c>
    </row>
    <row r="854" spans="12:16" ht="15.9" x14ac:dyDescent="0.45">
      <c r="L854" s="350">
        <v>821115</v>
      </c>
      <c r="M854" s="351" t="s">
        <v>5103</v>
      </c>
      <c r="N854" s="352" t="s">
        <v>1796</v>
      </c>
      <c r="O854" s="352" t="s">
        <v>1797</v>
      </c>
      <c r="P854" t="s">
        <v>242</v>
      </c>
    </row>
    <row r="855" spans="12:16" ht="15.9" x14ac:dyDescent="0.45">
      <c r="L855" s="350">
        <v>821117</v>
      </c>
      <c r="M855" s="351" t="s">
        <v>5104</v>
      </c>
      <c r="N855" s="352" t="s">
        <v>1798</v>
      </c>
      <c r="O855" s="352" t="s">
        <v>1799</v>
      </c>
      <c r="P855" t="s">
        <v>242</v>
      </c>
    </row>
    <row r="856" spans="12:16" ht="15.9" x14ac:dyDescent="0.45">
      <c r="L856" s="350">
        <v>821155</v>
      </c>
      <c r="M856" s="351" t="s">
        <v>5105</v>
      </c>
      <c r="N856" s="352" t="s">
        <v>1800</v>
      </c>
      <c r="O856" s="352" t="s">
        <v>1801</v>
      </c>
      <c r="P856" t="s">
        <v>242</v>
      </c>
    </row>
    <row r="857" spans="12:16" ht="15.9" x14ac:dyDescent="0.45">
      <c r="L857" s="350">
        <v>821156</v>
      </c>
      <c r="M857" s="351" t="s">
        <v>5106</v>
      </c>
      <c r="N857" s="352" t="s">
        <v>5107</v>
      </c>
      <c r="O857" s="352" t="s">
        <v>1802</v>
      </c>
      <c r="P857" t="s">
        <v>242</v>
      </c>
    </row>
    <row r="858" spans="12:16" ht="15.9" x14ac:dyDescent="0.45">
      <c r="L858" s="350">
        <v>821157</v>
      </c>
      <c r="M858" s="351" t="s">
        <v>5108</v>
      </c>
      <c r="N858" s="352" t="s">
        <v>5109</v>
      </c>
      <c r="O858" s="352" t="s">
        <v>383</v>
      </c>
      <c r="P858" t="s">
        <v>242</v>
      </c>
    </row>
    <row r="859" spans="12:16" ht="15.9" x14ac:dyDescent="0.45">
      <c r="L859" s="350">
        <v>822245</v>
      </c>
      <c r="M859" s="351" t="s">
        <v>5110</v>
      </c>
      <c r="N859" s="352" t="s">
        <v>1803</v>
      </c>
      <c r="O859" s="352" t="s">
        <v>1804</v>
      </c>
      <c r="P859" t="s">
        <v>242</v>
      </c>
    </row>
    <row r="860" spans="12:16" ht="15.9" x14ac:dyDescent="0.45">
      <c r="L860" s="350">
        <v>822248</v>
      </c>
      <c r="M860" s="351" t="s">
        <v>5111</v>
      </c>
      <c r="N860" s="352" t="s">
        <v>1805</v>
      </c>
      <c r="O860" s="352" t="s">
        <v>1806</v>
      </c>
      <c r="P860" t="s">
        <v>242</v>
      </c>
    </row>
    <row r="861" spans="12:16" ht="15.9" x14ac:dyDescent="0.45">
      <c r="L861" s="350">
        <v>822265</v>
      </c>
      <c r="M861" s="351" t="s">
        <v>5112</v>
      </c>
      <c r="N861" s="352" t="s">
        <v>1807</v>
      </c>
      <c r="O861" s="352" t="s">
        <v>1808</v>
      </c>
      <c r="P861" t="s">
        <v>242</v>
      </c>
    </row>
    <row r="862" spans="12:16" ht="15.9" x14ac:dyDescent="0.45">
      <c r="L862" s="350">
        <v>822268</v>
      </c>
      <c r="M862" s="351" t="s">
        <v>5113</v>
      </c>
      <c r="N862" s="352" t="s">
        <v>1809</v>
      </c>
      <c r="O862" s="352" t="s">
        <v>1810</v>
      </c>
      <c r="P862" t="s">
        <v>242</v>
      </c>
    </row>
    <row r="863" spans="12:16" ht="15.9" x14ac:dyDescent="0.45">
      <c r="L863" s="350">
        <v>823111</v>
      </c>
      <c r="M863" s="351" t="s">
        <v>5114</v>
      </c>
      <c r="N863" s="352" t="s">
        <v>1811</v>
      </c>
      <c r="O863" s="352" t="s">
        <v>1812</v>
      </c>
      <c r="P863" t="s">
        <v>242</v>
      </c>
    </row>
    <row r="864" spans="12:16" ht="15.9" x14ac:dyDescent="0.45">
      <c r="L864" s="350">
        <v>823243</v>
      </c>
      <c r="M864" s="351" t="s">
        <v>5115</v>
      </c>
      <c r="N864" s="352" t="s">
        <v>1813</v>
      </c>
      <c r="O864" s="352" t="s">
        <v>1814</v>
      </c>
      <c r="P864" t="s">
        <v>242</v>
      </c>
    </row>
    <row r="865" spans="12:16" ht="15.9" x14ac:dyDescent="0.45">
      <c r="L865" s="350">
        <v>823244</v>
      </c>
      <c r="M865" s="351" t="s">
        <v>5116</v>
      </c>
      <c r="N865" s="352" t="s">
        <v>1815</v>
      </c>
      <c r="O865" s="352" t="s">
        <v>1816</v>
      </c>
      <c r="P865" t="s">
        <v>242</v>
      </c>
    </row>
    <row r="866" spans="12:16" ht="15.9" x14ac:dyDescent="0.45">
      <c r="L866" s="350">
        <v>823248</v>
      </c>
      <c r="M866" s="351" t="s">
        <v>5117</v>
      </c>
      <c r="N866" s="352" t="s">
        <v>1817</v>
      </c>
      <c r="O866" s="352" t="s">
        <v>1818</v>
      </c>
      <c r="P866" t="s">
        <v>242</v>
      </c>
    </row>
    <row r="867" spans="12:16" ht="15.9" x14ac:dyDescent="0.45">
      <c r="L867" s="350">
        <v>824462</v>
      </c>
      <c r="M867" s="351" t="s">
        <v>5118</v>
      </c>
      <c r="N867" s="352" t="s">
        <v>1819</v>
      </c>
      <c r="O867" s="352" t="s">
        <v>1820</v>
      </c>
      <c r="P867" t="s">
        <v>242</v>
      </c>
    </row>
    <row r="868" spans="12:16" ht="15.9" x14ac:dyDescent="0.45">
      <c r="L868" s="350">
        <v>824464</v>
      </c>
      <c r="M868" s="351" t="s">
        <v>5119</v>
      </c>
      <c r="N868" s="352" t="s">
        <v>1822</v>
      </c>
      <c r="O868" s="352" t="s">
        <v>1823</v>
      </c>
      <c r="P868" t="s">
        <v>242</v>
      </c>
    </row>
    <row r="869" spans="12:16" ht="15.9" x14ac:dyDescent="0.45">
      <c r="L869" s="350">
        <v>824466</v>
      </c>
      <c r="M869" s="351" t="s">
        <v>5120</v>
      </c>
      <c r="N869" s="352" t="s">
        <v>1824</v>
      </c>
      <c r="O869" s="352" t="s">
        <v>1825</v>
      </c>
      <c r="P869" t="s">
        <v>242</v>
      </c>
    </row>
    <row r="870" spans="12:16" ht="15.9" x14ac:dyDescent="0.45">
      <c r="L870" s="350">
        <v>824468</v>
      </c>
      <c r="M870" s="351" t="s">
        <v>5121</v>
      </c>
      <c r="N870" s="352" t="s">
        <v>1826</v>
      </c>
      <c r="O870" s="352" t="s">
        <v>1827</v>
      </c>
      <c r="P870" t="s">
        <v>242</v>
      </c>
    </row>
    <row r="871" spans="12:16" ht="15.9" x14ac:dyDescent="0.45">
      <c r="L871" s="350">
        <v>826121</v>
      </c>
      <c r="M871" s="351" t="s">
        <v>5122</v>
      </c>
      <c r="N871" s="352" t="s">
        <v>1828</v>
      </c>
      <c r="O871" s="352" t="s">
        <v>383</v>
      </c>
      <c r="P871" t="s">
        <v>242</v>
      </c>
    </row>
    <row r="872" spans="12:16" ht="15.9" x14ac:dyDescent="0.45">
      <c r="L872" s="350">
        <v>826123</v>
      </c>
      <c r="M872" s="351" t="s">
        <v>5123</v>
      </c>
      <c r="N872" s="352" t="s">
        <v>1829</v>
      </c>
      <c r="O872" s="352" t="s">
        <v>1830</v>
      </c>
      <c r="P872" t="s">
        <v>242</v>
      </c>
    </row>
    <row r="873" spans="12:16" ht="15.9" x14ac:dyDescent="0.45">
      <c r="L873" s="350">
        <v>827111</v>
      </c>
      <c r="M873" s="351" t="s">
        <v>5124</v>
      </c>
      <c r="N873" s="352" t="s">
        <v>1831</v>
      </c>
      <c r="O873" s="352" t="s">
        <v>1832</v>
      </c>
      <c r="P873" t="s">
        <v>242</v>
      </c>
    </row>
    <row r="874" spans="12:16" ht="15.9" x14ac:dyDescent="0.45">
      <c r="L874" s="350">
        <v>831155</v>
      </c>
      <c r="M874" s="351" t="s">
        <v>5125</v>
      </c>
      <c r="N874" s="352" t="s">
        <v>1833</v>
      </c>
      <c r="O874" s="352" t="s">
        <v>1834</v>
      </c>
      <c r="P874" t="s">
        <v>242</v>
      </c>
    </row>
    <row r="875" spans="12:16" ht="15.9" x14ac:dyDescent="0.45">
      <c r="L875" s="350">
        <v>831157</v>
      </c>
      <c r="M875" s="351" t="s">
        <v>5126</v>
      </c>
      <c r="N875" s="352" t="s">
        <v>5127</v>
      </c>
      <c r="O875" s="352" t="s">
        <v>1835</v>
      </c>
      <c r="P875" t="s">
        <v>242</v>
      </c>
    </row>
    <row r="876" spans="12:16" ht="15.9" x14ac:dyDescent="0.45">
      <c r="L876" s="350">
        <v>831165</v>
      </c>
      <c r="M876" s="351" t="s">
        <v>5128</v>
      </c>
      <c r="N876" s="352" t="s">
        <v>1836</v>
      </c>
      <c r="O876" s="352" t="s">
        <v>1837</v>
      </c>
      <c r="P876" t="s">
        <v>242</v>
      </c>
    </row>
    <row r="877" spans="12:16" ht="15.9" x14ac:dyDescent="0.45">
      <c r="L877" s="350">
        <v>831168</v>
      </c>
      <c r="M877" s="351" t="s">
        <v>5129</v>
      </c>
      <c r="N877" s="352" t="s">
        <v>1838</v>
      </c>
      <c r="O877" s="352" t="s">
        <v>1839</v>
      </c>
      <c r="P877" t="s">
        <v>242</v>
      </c>
    </row>
    <row r="878" spans="12:16" ht="15.9" x14ac:dyDescent="0.45">
      <c r="L878" s="350">
        <v>831169</v>
      </c>
      <c r="M878" s="351" t="s">
        <v>5130</v>
      </c>
      <c r="N878" s="352" t="s">
        <v>1841</v>
      </c>
      <c r="O878" s="352" t="s">
        <v>1842</v>
      </c>
      <c r="P878" t="s">
        <v>242</v>
      </c>
    </row>
    <row r="879" spans="12:16" ht="15.9" x14ac:dyDescent="0.45">
      <c r="L879" s="350">
        <v>831171</v>
      </c>
      <c r="M879" s="351" t="s">
        <v>5131</v>
      </c>
      <c r="N879" s="352" t="s">
        <v>1843</v>
      </c>
      <c r="O879" s="352" t="s">
        <v>1844</v>
      </c>
      <c r="P879" t="s">
        <v>242</v>
      </c>
    </row>
    <row r="880" spans="12:16" ht="15.9" x14ac:dyDescent="0.45">
      <c r="L880" s="350">
        <v>831172</v>
      </c>
      <c r="M880" s="351" t="s">
        <v>5132</v>
      </c>
      <c r="N880" s="352" t="s">
        <v>1845</v>
      </c>
      <c r="O880" s="352" t="s">
        <v>1846</v>
      </c>
      <c r="P880" t="s">
        <v>242</v>
      </c>
    </row>
    <row r="881" spans="12:16" ht="15.9" x14ac:dyDescent="0.45">
      <c r="L881" s="350">
        <v>831173</v>
      </c>
      <c r="M881" s="351" t="s">
        <v>5133</v>
      </c>
      <c r="N881" s="352" t="s">
        <v>1847</v>
      </c>
      <c r="O881" s="352" t="s">
        <v>1848</v>
      </c>
      <c r="P881" t="s">
        <v>242</v>
      </c>
    </row>
    <row r="882" spans="12:16" ht="15.9" x14ac:dyDescent="0.45">
      <c r="L882" s="350">
        <v>831410</v>
      </c>
      <c r="M882" s="351" t="s">
        <v>5134</v>
      </c>
      <c r="N882" s="352" t="s">
        <v>5135</v>
      </c>
      <c r="O882" s="352" t="s">
        <v>383</v>
      </c>
      <c r="P882" t="s">
        <v>242</v>
      </c>
    </row>
    <row r="883" spans="12:16" ht="15.9" x14ac:dyDescent="0.45">
      <c r="L883" s="350">
        <v>831511</v>
      </c>
      <c r="M883" s="351" t="s">
        <v>5136</v>
      </c>
      <c r="N883" s="352" t="s">
        <v>1849</v>
      </c>
      <c r="O883" s="352" t="s">
        <v>383</v>
      </c>
      <c r="P883" t="s">
        <v>242</v>
      </c>
    </row>
    <row r="884" spans="12:16" ht="15.9" x14ac:dyDescent="0.45">
      <c r="L884" s="350">
        <v>832255</v>
      </c>
      <c r="M884" s="351" t="s">
        <v>5137</v>
      </c>
      <c r="N884" s="352" t="s">
        <v>1850</v>
      </c>
      <c r="O884" s="352" t="s">
        <v>1851</v>
      </c>
      <c r="P884" t="s">
        <v>242</v>
      </c>
    </row>
    <row r="885" spans="12:16" ht="15.9" x14ac:dyDescent="0.45">
      <c r="L885" s="350">
        <v>832266</v>
      </c>
      <c r="M885" s="351" t="s">
        <v>5138</v>
      </c>
      <c r="N885" s="352" t="s">
        <v>1852</v>
      </c>
      <c r="O885" s="352" t="s">
        <v>1853</v>
      </c>
      <c r="P885" t="s">
        <v>242</v>
      </c>
    </row>
    <row r="886" spans="12:16" ht="15.9" x14ac:dyDescent="0.45">
      <c r="L886" s="350">
        <v>832267</v>
      </c>
      <c r="M886" s="351" t="s">
        <v>5139</v>
      </c>
      <c r="N886" s="352" t="s">
        <v>1854</v>
      </c>
      <c r="O886" s="352" t="s">
        <v>1855</v>
      </c>
      <c r="P886" t="s">
        <v>242</v>
      </c>
    </row>
    <row r="887" spans="12:16" ht="15.9" x14ac:dyDescent="0.45">
      <c r="L887" s="350">
        <v>833101</v>
      </c>
      <c r="M887" s="351" t="s">
        <v>5141</v>
      </c>
      <c r="N887" s="352" t="s">
        <v>1857</v>
      </c>
      <c r="O887" s="352" t="s">
        <v>383</v>
      </c>
      <c r="P887" t="s">
        <v>242</v>
      </c>
    </row>
    <row r="888" spans="12:16" ht="15.9" x14ac:dyDescent="0.45">
      <c r="L888" s="350">
        <v>833221</v>
      </c>
      <c r="M888" s="351" t="s">
        <v>5142</v>
      </c>
      <c r="N888" s="352" t="s">
        <v>3759</v>
      </c>
      <c r="O888" s="352" t="s">
        <v>383</v>
      </c>
      <c r="P888" t="s">
        <v>242</v>
      </c>
    </row>
    <row r="889" spans="12:16" ht="15.9" x14ac:dyDescent="0.45">
      <c r="L889" s="350">
        <v>833300</v>
      </c>
      <c r="M889" s="351" t="s">
        <v>5144</v>
      </c>
      <c r="N889" s="352" t="s">
        <v>1859</v>
      </c>
      <c r="O889" s="352" t="s">
        <v>383</v>
      </c>
      <c r="P889" t="s">
        <v>242</v>
      </c>
    </row>
    <row r="890" spans="12:16" ht="15.9" x14ac:dyDescent="0.45">
      <c r="L890" s="350">
        <v>833354</v>
      </c>
      <c r="M890" s="351" t="s">
        <v>5145</v>
      </c>
      <c r="N890" s="352" t="s">
        <v>1860</v>
      </c>
      <c r="O890" s="352" t="s">
        <v>1861</v>
      </c>
      <c r="P890" t="s">
        <v>242</v>
      </c>
    </row>
    <row r="891" spans="12:16" ht="15.9" x14ac:dyDescent="0.45">
      <c r="L891" s="350">
        <v>833356</v>
      </c>
      <c r="M891" s="351" t="s">
        <v>5146</v>
      </c>
      <c r="N891" s="352" t="s">
        <v>1862</v>
      </c>
      <c r="O891" s="352" t="s">
        <v>1863</v>
      </c>
      <c r="P891" t="s">
        <v>242</v>
      </c>
    </row>
    <row r="892" spans="12:16" ht="15.9" x14ac:dyDescent="0.45">
      <c r="L892" s="350">
        <v>833358</v>
      </c>
      <c r="M892" s="351" t="s">
        <v>5147</v>
      </c>
      <c r="N892" s="352" t="s">
        <v>1864</v>
      </c>
      <c r="O892" s="352" t="s">
        <v>1865</v>
      </c>
      <c r="P892" t="s">
        <v>242</v>
      </c>
    </row>
    <row r="893" spans="12:16" ht="15.9" x14ac:dyDescent="0.45">
      <c r="L893" s="350">
        <v>833360</v>
      </c>
      <c r="M893" s="351" t="s">
        <v>5148</v>
      </c>
      <c r="N893" s="352" t="s">
        <v>1866</v>
      </c>
      <c r="O893" s="352" t="s">
        <v>383</v>
      </c>
      <c r="P893" t="s">
        <v>242</v>
      </c>
    </row>
    <row r="894" spans="12:16" ht="15.9" x14ac:dyDescent="0.45">
      <c r="L894" s="350">
        <v>833361</v>
      </c>
      <c r="M894" s="351" t="s">
        <v>5150</v>
      </c>
      <c r="N894" s="352" t="s">
        <v>1867</v>
      </c>
      <c r="O894" s="352" t="s">
        <v>1868</v>
      </c>
      <c r="P894" t="s">
        <v>242</v>
      </c>
    </row>
    <row r="895" spans="12:16" ht="15.9" x14ac:dyDescent="0.45">
      <c r="L895" s="350">
        <v>841161</v>
      </c>
      <c r="M895" s="351" t="s">
        <v>5152</v>
      </c>
      <c r="N895" s="352" t="s">
        <v>5153</v>
      </c>
      <c r="O895" s="352" t="s">
        <v>1869</v>
      </c>
      <c r="P895" t="s">
        <v>242</v>
      </c>
    </row>
    <row r="896" spans="12:16" ht="15.9" x14ac:dyDescent="0.45">
      <c r="L896" s="350">
        <v>841162</v>
      </c>
      <c r="M896" s="351" t="s">
        <v>5154</v>
      </c>
      <c r="N896" s="352" t="s">
        <v>1870</v>
      </c>
      <c r="O896" s="352" t="s">
        <v>1871</v>
      </c>
      <c r="P896" t="s">
        <v>242</v>
      </c>
    </row>
    <row r="897" spans="12:16" ht="15.9" x14ac:dyDescent="0.45">
      <c r="L897" s="350">
        <v>841163</v>
      </c>
      <c r="M897" s="351" t="s">
        <v>5155</v>
      </c>
      <c r="N897" s="352" t="s">
        <v>1872</v>
      </c>
      <c r="O897" s="352" t="s">
        <v>1873</v>
      </c>
      <c r="P897" t="s">
        <v>242</v>
      </c>
    </row>
    <row r="898" spans="12:16" ht="15.9" x14ac:dyDescent="0.45">
      <c r="L898" s="350">
        <v>841165</v>
      </c>
      <c r="M898" s="351" t="s">
        <v>5156</v>
      </c>
      <c r="N898" s="352" t="s">
        <v>1874</v>
      </c>
      <c r="O898" s="352" t="s">
        <v>1875</v>
      </c>
      <c r="P898" t="s">
        <v>242</v>
      </c>
    </row>
    <row r="899" spans="12:16" ht="15.9" x14ac:dyDescent="0.45">
      <c r="L899" s="350">
        <v>841166</v>
      </c>
      <c r="M899" s="351" t="s">
        <v>5157</v>
      </c>
      <c r="N899" s="352" t="s">
        <v>5158</v>
      </c>
      <c r="O899" s="352" t="s">
        <v>1876</v>
      </c>
      <c r="P899" t="s">
        <v>242</v>
      </c>
    </row>
    <row r="900" spans="12:16" ht="15.9" x14ac:dyDescent="0.45">
      <c r="L900" s="350">
        <v>841169</v>
      </c>
      <c r="M900" s="351" t="s">
        <v>5159</v>
      </c>
      <c r="N900" s="352" t="s">
        <v>1877</v>
      </c>
      <c r="O900" s="352" t="s">
        <v>1878</v>
      </c>
      <c r="P900" t="s">
        <v>242</v>
      </c>
    </row>
    <row r="901" spans="12:16" ht="15.9" x14ac:dyDescent="0.45">
      <c r="L901" s="350">
        <v>841423</v>
      </c>
      <c r="M901" s="351" t="s">
        <v>5160</v>
      </c>
      <c r="N901" s="352" t="s">
        <v>1879</v>
      </c>
      <c r="O901" s="352" t="s">
        <v>1880</v>
      </c>
      <c r="P901" t="s">
        <v>242</v>
      </c>
    </row>
    <row r="902" spans="12:16" ht="15.9" x14ac:dyDescent="0.45">
      <c r="L902" s="350">
        <v>841425</v>
      </c>
      <c r="M902" s="351" t="s">
        <v>5161</v>
      </c>
      <c r="N902" s="352" t="s">
        <v>1881</v>
      </c>
      <c r="O902" s="352" t="s">
        <v>1882</v>
      </c>
      <c r="P902" t="s">
        <v>242</v>
      </c>
    </row>
    <row r="903" spans="12:16" ht="15.9" x14ac:dyDescent="0.45">
      <c r="L903" s="350">
        <v>841426</v>
      </c>
      <c r="M903" s="351" t="s">
        <v>5162</v>
      </c>
      <c r="N903" s="352" t="s">
        <v>5163</v>
      </c>
      <c r="O903" s="352" t="s">
        <v>383</v>
      </c>
      <c r="P903" t="s">
        <v>242</v>
      </c>
    </row>
    <row r="904" spans="12:16" ht="15.9" x14ac:dyDescent="0.45">
      <c r="L904" s="350">
        <v>841427</v>
      </c>
      <c r="M904" s="351" t="s">
        <v>5165</v>
      </c>
      <c r="N904" s="352" t="s">
        <v>1883</v>
      </c>
      <c r="O904" s="352" t="s">
        <v>1884</v>
      </c>
      <c r="P904" t="s">
        <v>242</v>
      </c>
    </row>
    <row r="905" spans="12:16" ht="15.9" x14ac:dyDescent="0.45">
      <c r="L905" s="350">
        <v>842245</v>
      </c>
      <c r="M905" s="351" t="s">
        <v>3423</v>
      </c>
      <c r="N905" s="352" t="s">
        <v>5166</v>
      </c>
      <c r="O905" s="352" t="s">
        <v>3760</v>
      </c>
      <c r="P905" t="s">
        <v>242</v>
      </c>
    </row>
    <row r="906" spans="12:16" ht="15.9" x14ac:dyDescent="0.45">
      <c r="L906" s="350">
        <v>842249</v>
      </c>
      <c r="M906" s="351" t="s">
        <v>5168</v>
      </c>
      <c r="N906" s="352" t="s">
        <v>1885</v>
      </c>
      <c r="O906" s="352" t="s">
        <v>1886</v>
      </c>
      <c r="P906" t="s">
        <v>242</v>
      </c>
    </row>
    <row r="907" spans="12:16" ht="15.9" x14ac:dyDescent="0.45">
      <c r="L907" s="350">
        <v>843101</v>
      </c>
      <c r="M907" s="351" t="s">
        <v>5170</v>
      </c>
      <c r="N907" s="352" t="s">
        <v>5171</v>
      </c>
      <c r="O907" s="352" t="s">
        <v>383</v>
      </c>
      <c r="P907" t="s">
        <v>242</v>
      </c>
    </row>
    <row r="908" spans="12:16" ht="15.9" x14ac:dyDescent="0.45">
      <c r="L908" s="350">
        <v>843301</v>
      </c>
      <c r="M908" s="351" t="s">
        <v>5172</v>
      </c>
      <c r="N908" s="352" t="s">
        <v>5173</v>
      </c>
      <c r="O908" s="352" t="s">
        <v>383</v>
      </c>
      <c r="P908" t="s">
        <v>242</v>
      </c>
    </row>
    <row r="909" spans="12:16" ht="15.9" x14ac:dyDescent="0.45">
      <c r="L909" s="350">
        <v>843314</v>
      </c>
      <c r="M909" s="351" t="s">
        <v>5174</v>
      </c>
      <c r="N909" s="352" t="s">
        <v>1887</v>
      </c>
      <c r="O909" s="352" t="s">
        <v>1888</v>
      </c>
      <c r="P909" t="s">
        <v>242</v>
      </c>
    </row>
    <row r="910" spans="12:16" ht="15.9" x14ac:dyDescent="0.45">
      <c r="L910" s="350">
        <v>843316</v>
      </c>
      <c r="M910" s="351" t="s">
        <v>5175</v>
      </c>
      <c r="N910" s="352" t="s">
        <v>1889</v>
      </c>
      <c r="O910" s="352" t="s">
        <v>383</v>
      </c>
      <c r="P910" t="s">
        <v>242</v>
      </c>
    </row>
    <row r="911" spans="12:16" ht="15.9" x14ac:dyDescent="0.45">
      <c r="L911" s="350">
        <v>843319</v>
      </c>
      <c r="M911" s="351" t="s">
        <v>5177</v>
      </c>
      <c r="N911" s="352" t="s">
        <v>1890</v>
      </c>
      <c r="O911" s="352" t="s">
        <v>1891</v>
      </c>
      <c r="P911" t="s">
        <v>242</v>
      </c>
    </row>
    <row r="912" spans="12:16" ht="15.9" x14ac:dyDescent="0.45">
      <c r="L912" s="350">
        <v>844367</v>
      </c>
      <c r="M912" s="351" t="s">
        <v>5178</v>
      </c>
      <c r="N912" s="352" t="s">
        <v>1892</v>
      </c>
      <c r="O912" s="352" t="s">
        <v>1893</v>
      </c>
      <c r="P912" t="s">
        <v>242</v>
      </c>
    </row>
    <row r="913" spans="12:16" ht="15.9" x14ac:dyDescent="0.45">
      <c r="L913" s="350">
        <v>844368</v>
      </c>
      <c r="M913" s="351" t="s">
        <v>5179</v>
      </c>
      <c r="N913" s="352" t="s">
        <v>1894</v>
      </c>
      <c r="O913" s="352" t="s">
        <v>1895</v>
      </c>
      <c r="P913" t="s">
        <v>242</v>
      </c>
    </row>
    <row r="914" spans="12:16" ht="15.9" x14ac:dyDescent="0.45">
      <c r="L914" s="350">
        <v>844400</v>
      </c>
      <c r="M914" s="351" t="s">
        <v>5181</v>
      </c>
      <c r="N914" s="352" t="s">
        <v>5182</v>
      </c>
      <c r="O914" s="352" t="s">
        <v>383</v>
      </c>
      <c r="P914" t="s">
        <v>242</v>
      </c>
    </row>
    <row r="915" spans="12:16" ht="15.9" x14ac:dyDescent="0.45">
      <c r="L915" s="350">
        <v>844410</v>
      </c>
      <c r="M915" s="351" t="s">
        <v>5183</v>
      </c>
      <c r="N915" s="352" t="s">
        <v>5184</v>
      </c>
      <c r="O915" s="352" t="s">
        <v>383</v>
      </c>
      <c r="P915" t="s">
        <v>242</v>
      </c>
    </row>
    <row r="916" spans="12:16" ht="15.9" x14ac:dyDescent="0.45">
      <c r="L916" s="350">
        <v>844500</v>
      </c>
      <c r="M916" s="351" t="s">
        <v>5185</v>
      </c>
      <c r="N916" s="352" t="s">
        <v>5186</v>
      </c>
      <c r="O916" s="352" t="s">
        <v>383</v>
      </c>
      <c r="P916" t="s">
        <v>242</v>
      </c>
    </row>
    <row r="917" spans="12:16" ht="15.9" x14ac:dyDescent="0.45">
      <c r="L917" s="350">
        <v>844510</v>
      </c>
      <c r="M917" s="351" t="s">
        <v>3465</v>
      </c>
      <c r="N917" s="352" t="s">
        <v>5187</v>
      </c>
      <c r="O917" s="352" t="s">
        <v>383</v>
      </c>
      <c r="P917" t="s">
        <v>242</v>
      </c>
    </row>
    <row r="918" spans="12:16" ht="15.9" x14ac:dyDescent="0.45">
      <c r="L918" s="350">
        <v>845362</v>
      </c>
      <c r="M918" s="351" t="s">
        <v>5188</v>
      </c>
      <c r="N918" s="352" t="s">
        <v>1896</v>
      </c>
      <c r="O918" s="352" t="s">
        <v>383</v>
      </c>
      <c r="P918" t="s">
        <v>242</v>
      </c>
    </row>
    <row r="919" spans="12:16" ht="15.9" x14ac:dyDescent="0.45">
      <c r="L919" s="350">
        <v>845363</v>
      </c>
      <c r="M919" s="351" t="s">
        <v>5189</v>
      </c>
      <c r="N919" s="352" t="s">
        <v>1897</v>
      </c>
      <c r="O919" s="352" t="s">
        <v>383</v>
      </c>
      <c r="P919" t="s">
        <v>242</v>
      </c>
    </row>
    <row r="920" spans="12:16" ht="15.9" x14ac:dyDescent="0.45">
      <c r="L920" s="350">
        <v>851142</v>
      </c>
      <c r="M920" s="351" t="s">
        <v>5190</v>
      </c>
      <c r="N920" s="352" t="s">
        <v>5191</v>
      </c>
      <c r="O920" s="352" t="s">
        <v>1899</v>
      </c>
      <c r="P920" t="s">
        <v>242</v>
      </c>
    </row>
    <row r="921" spans="12:16" ht="15.9" x14ac:dyDescent="0.45">
      <c r="L921" s="350">
        <v>851143</v>
      </c>
      <c r="M921" s="351" t="s">
        <v>5192</v>
      </c>
      <c r="N921" s="352" t="s">
        <v>1901</v>
      </c>
      <c r="O921" s="352" t="s">
        <v>1902</v>
      </c>
      <c r="P921" t="s">
        <v>242</v>
      </c>
    </row>
    <row r="922" spans="12:16" ht="15.9" x14ac:dyDescent="0.45">
      <c r="L922" s="350">
        <v>851145</v>
      </c>
      <c r="M922" s="351" t="s">
        <v>5194</v>
      </c>
      <c r="N922" s="352" t="s">
        <v>1904</v>
      </c>
      <c r="O922" s="352" t="s">
        <v>1905</v>
      </c>
      <c r="P922" t="s">
        <v>242</v>
      </c>
    </row>
    <row r="923" spans="12:16" ht="15.9" x14ac:dyDescent="0.45">
      <c r="L923" s="350">
        <v>851147</v>
      </c>
      <c r="M923" s="351" t="s">
        <v>5195</v>
      </c>
      <c r="N923" s="352" t="s">
        <v>5196</v>
      </c>
      <c r="O923" s="352" t="s">
        <v>1907</v>
      </c>
      <c r="P923" t="s">
        <v>242</v>
      </c>
    </row>
    <row r="924" spans="12:16" ht="15.9" x14ac:dyDescent="0.45">
      <c r="L924" s="350">
        <v>851201</v>
      </c>
      <c r="M924" s="351" t="s">
        <v>5197</v>
      </c>
      <c r="N924" s="352" t="s">
        <v>5198</v>
      </c>
      <c r="O924" s="352" t="s">
        <v>1908</v>
      </c>
      <c r="P924" t="s">
        <v>242</v>
      </c>
    </row>
    <row r="925" spans="12:16" ht="15.9" x14ac:dyDescent="0.45">
      <c r="L925" s="350">
        <v>851404</v>
      </c>
      <c r="M925" s="351" t="s">
        <v>5199</v>
      </c>
      <c r="N925" s="352" t="s">
        <v>1926</v>
      </c>
      <c r="O925" s="352" t="s">
        <v>383</v>
      </c>
      <c r="P925" t="s">
        <v>242</v>
      </c>
    </row>
    <row r="926" spans="12:16" ht="15.9" x14ac:dyDescent="0.45">
      <c r="L926" s="350">
        <v>852201</v>
      </c>
      <c r="M926" s="351" t="s">
        <v>5200</v>
      </c>
      <c r="N926" s="352" t="s">
        <v>5201</v>
      </c>
      <c r="O926" s="352" t="s">
        <v>1910</v>
      </c>
      <c r="P926" t="s">
        <v>242</v>
      </c>
    </row>
    <row r="927" spans="12:16" ht="15.9" x14ac:dyDescent="0.45">
      <c r="L927" s="350">
        <v>852220</v>
      </c>
      <c r="M927" s="351" t="s">
        <v>5202</v>
      </c>
      <c r="N927" s="352" t="s">
        <v>5203</v>
      </c>
      <c r="O927" s="352" t="s">
        <v>383</v>
      </c>
      <c r="P927" t="s">
        <v>242</v>
      </c>
    </row>
    <row r="928" spans="12:16" ht="15.9" x14ac:dyDescent="0.45">
      <c r="L928" s="350">
        <v>852261</v>
      </c>
      <c r="M928" s="351" t="s">
        <v>5204</v>
      </c>
      <c r="N928" s="352" t="s">
        <v>5205</v>
      </c>
      <c r="O928" s="352" t="s">
        <v>1911</v>
      </c>
      <c r="P928" t="s">
        <v>242</v>
      </c>
    </row>
    <row r="929" spans="12:16" ht="15.9" x14ac:dyDescent="0.45">
      <c r="L929" s="350">
        <v>852262</v>
      </c>
      <c r="M929" s="351" t="s">
        <v>5206</v>
      </c>
      <c r="N929" s="352" t="s">
        <v>5207</v>
      </c>
      <c r="O929" s="352" t="s">
        <v>1912</v>
      </c>
      <c r="P929" t="s">
        <v>242</v>
      </c>
    </row>
    <row r="930" spans="12:16" ht="15.9" x14ac:dyDescent="0.45">
      <c r="L930" s="350">
        <v>852263</v>
      </c>
      <c r="M930" s="351" t="s">
        <v>5208</v>
      </c>
      <c r="N930" s="352" t="s">
        <v>5209</v>
      </c>
      <c r="O930" s="352" t="s">
        <v>383</v>
      </c>
      <c r="P930" t="s">
        <v>242</v>
      </c>
    </row>
    <row r="931" spans="12:16" ht="15.9" x14ac:dyDescent="0.45">
      <c r="L931" s="350">
        <v>852267</v>
      </c>
      <c r="M931" s="351" t="s">
        <v>5211</v>
      </c>
      <c r="N931" s="352" t="s">
        <v>1913</v>
      </c>
      <c r="O931" s="352" t="s">
        <v>1914</v>
      </c>
      <c r="P931" t="s">
        <v>242</v>
      </c>
    </row>
    <row r="932" spans="12:16" ht="15.9" x14ac:dyDescent="0.45">
      <c r="L932" s="350">
        <v>852269</v>
      </c>
      <c r="M932" s="351" t="s">
        <v>5212</v>
      </c>
      <c r="N932" s="352" t="s">
        <v>5213</v>
      </c>
      <c r="O932" s="352" t="s">
        <v>1915</v>
      </c>
      <c r="P932" t="s">
        <v>242</v>
      </c>
    </row>
    <row r="933" spans="12:16" ht="15.9" x14ac:dyDescent="0.45">
      <c r="L933" s="350">
        <v>852271</v>
      </c>
      <c r="M933" s="351" t="s">
        <v>5214</v>
      </c>
      <c r="N933" s="352" t="s">
        <v>5215</v>
      </c>
      <c r="O933" s="352" t="s">
        <v>1916</v>
      </c>
      <c r="P933" t="s">
        <v>242</v>
      </c>
    </row>
    <row r="934" spans="12:16" ht="15.9" x14ac:dyDescent="0.45">
      <c r="L934" s="350">
        <v>852273</v>
      </c>
      <c r="M934" s="351" t="s">
        <v>5217</v>
      </c>
      <c r="N934" s="352" t="s">
        <v>1917</v>
      </c>
      <c r="O934" s="352" t="s">
        <v>1918</v>
      </c>
      <c r="P934" t="s">
        <v>242</v>
      </c>
    </row>
    <row r="935" spans="12:16" ht="15.9" x14ac:dyDescent="0.45">
      <c r="L935" s="350">
        <v>852282</v>
      </c>
      <c r="M935" s="351" t="s">
        <v>5218</v>
      </c>
      <c r="N935" s="352" t="s">
        <v>1919</v>
      </c>
      <c r="O935" s="352" t="s">
        <v>1920</v>
      </c>
      <c r="P935" t="s">
        <v>242</v>
      </c>
    </row>
    <row r="936" spans="12:16" ht="15.9" x14ac:dyDescent="0.45">
      <c r="L936" s="350">
        <v>852287</v>
      </c>
      <c r="M936" s="351" t="s">
        <v>5220</v>
      </c>
      <c r="N936" s="352" t="s">
        <v>1921</v>
      </c>
      <c r="O936" s="352" t="s">
        <v>1922</v>
      </c>
      <c r="P936" t="s">
        <v>242</v>
      </c>
    </row>
    <row r="937" spans="12:16" ht="15.9" x14ac:dyDescent="0.45">
      <c r="L937" s="350">
        <v>852289</v>
      </c>
      <c r="M937" s="351" t="s">
        <v>5221</v>
      </c>
      <c r="N937" s="352" t="s">
        <v>1924</v>
      </c>
      <c r="O937" s="352" t="s">
        <v>1925</v>
      </c>
      <c r="P937" t="s">
        <v>242</v>
      </c>
    </row>
    <row r="938" spans="12:16" ht="15.9" x14ac:dyDescent="0.45">
      <c r="L938" s="350">
        <v>852301</v>
      </c>
      <c r="M938" s="351" t="s">
        <v>5223</v>
      </c>
      <c r="N938" s="352" t="s">
        <v>1926</v>
      </c>
      <c r="O938" s="352" t="s">
        <v>1927</v>
      </c>
      <c r="P938" t="s">
        <v>242</v>
      </c>
    </row>
    <row r="939" spans="12:16" ht="15.9" x14ac:dyDescent="0.45">
      <c r="L939" s="350">
        <v>852400</v>
      </c>
      <c r="M939" s="351" t="s">
        <v>5224</v>
      </c>
      <c r="N939" s="352" t="s">
        <v>5225</v>
      </c>
      <c r="O939" s="352" t="s">
        <v>383</v>
      </c>
      <c r="P939" t="s">
        <v>242</v>
      </c>
    </row>
    <row r="940" spans="12:16" ht="15.9" x14ac:dyDescent="0.45">
      <c r="L940" s="350">
        <v>853101</v>
      </c>
      <c r="M940" s="351" t="s">
        <v>5226</v>
      </c>
      <c r="N940" s="352" t="s">
        <v>5228</v>
      </c>
      <c r="O940" s="352" t="s">
        <v>1928</v>
      </c>
      <c r="P940" t="s">
        <v>242</v>
      </c>
    </row>
    <row r="941" spans="12:16" ht="15.9" x14ac:dyDescent="0.45">
      <c r="L941" s="350">
        <v>860612</v>
      </c>
      <c r="M941" s="351" t="s">
        <v>3502</v>
      </c>
      <c r="N941" s="352" t="s">
        <v>1929</v>
      </c>
      <c r="O941" s="352" t="s">
        <v>1930</v>
      </c>
      <c r="P941" t="s">
        <v>242</v>
      </c>
    </row>
    <row r="942" spans="12:16" ht="15.9" x14ac:dyDescent="0.45">
      <c r="L942" s="350">
        <v>860616</v>
      </c>
      <c r="M942" s="351" t="s">
        <v>5231</v>
      </c>
      <c r="N942" s="352" t="s">
        <v>1931</v>
      </c>
      <c r="O942" s="352" t="s">
        <v>1932</v>
      </c>
      <c r="P942" t="s">
        <v>242</v>
      </c>
    </row>
    <row r="943" spans="12:16" ht="15.9" x14ac:dyDescent="0.45">
      <c r="L943" s="350">
        <v>860617</v>
      </c>
      <c r="M943" s="351" t="s">
        <v>5232</v>
      </c>
      <c r="N943" s="352" t="s">
        <v>1933</v>
      </c>
      <c r="O943" s="352" t="s">
        <v>1934</v>
      </c>
      <c r="P943" t="s">
        <v>242</v>
      </c>
    </row>
    <row r="944" spans="12:16" ht="15.9" x14ac:dyDescent="0.45">
      <c r="L944" s="350">
        <v>871101</v>
      </c>
      <c r="M944" s="351" t="s">
        <v>5233</v>
      </c>
      <c r="N944" s="352" t="s">
        <v>1936</v>
      </c>
      <c r="O944" s="352" t="s">
        <v>383</v>
      </c>
      <c r="P944" t="s">
        <v>242</v>
      </c>
    </row>
    <row r="945" spans="12:16" ht="15.9" x14ac:dyDescent="0.45">
      <c r="L945" s="350">
        <v>871150</v>
      </c>
      <c r="M945" s="351" t="s">
        <v>5235</v>
      </c>
      <c r="N945" s="352" t="s">
        <v>5236</v>
      </c>
      <c r="O945" s="352" t="s">
        <v>383</v>
      </c>
      <c r="P945" t="s">
        <v>242</v>
      </c>
    </row>
    <row r="946" spans="12:16" ht="15.9" x14ac:dyDescent="0.45">
      <c r="L946" s="350">
        <v>871183</v>
      </c>
      <c r="M946" s="351" t="s">
        <v>5237</v>
      </c>
      <c r="N946" s="352" t="s">
        <v>1937</v>
      </c>
      <c r="O946" s="352" t="s">
        <v>1938</v>
      </c>
      <c r="P946" t="s">
        <v>242</v>
      </c>
    </row>
    <row r="947" spans="12:16" ht="15.9" x14ac:dyDescent="0.45">
      <c r="L947" s="350">
        <v>871185</v>
      </c>
      <c r="M947" s="351" t="s">
        <v>5238</v>
      </c>
      <c r="N947" s="352" t="s">
        <v>1939</v>
      </c>
      <c r="O947" s="352" t="s">
        <v>1940</v>
      </c>
      <c r="P947" t="s">
        <v>242</v>
      </c>
    </row>
    <row r="948" spans="12:16" ht="15.9" x14ac:dyDescent="0.45">
      <c r="L948" s="350">
        <v>871187</v>
      </c>
      <c r="M948" s="351" t="s">
        <v>5239</v>
      </c>
      <c r="N948" s="352" t="s">
        <v>1942</v>
      </c>
      <c r="O948" s="352" t="s">
        <v>1943</v>
      </c>
      <c r="P948" t="s">
        <v>242</v>
      </c>
    </row>
    <row r="949" spans="12:16" ht="15.9" x14ac:dyDescent="0.45">
      <c r="L949" s="350">
        <v>871401</v>
      </c>
      <c r="M949" s="351" t="s">
        <v>5240</v>
      </c>
      <c r="N949" s="352" t="s">
        <v>5241</v>
      </c>
      <c r="O949" s="352" t="s">
        <v>383</v>
      </c>
      <c r="P949" t="s">
        <v>242</v>
      </c>
    </row>
    <row r="950" spans="12:16" ht="15.9" x14ac:dyDescent="0.45">
      <c r="L950" s="350">
        <v>871421</v>
      </c>
      <c r="M950" s="351" t="s">
        <v>5242</v>
      </c>
      <c r="N950" s="352" t="s">
        <v>1946</v>
      </c>
      <c r="O950" s="352" t="s">
        <v>383</v>
      </c>
      <c r="P950" t="s">
        <v>242</v>
      </c>
    </row>
    <row r="951" spans="12:16" ht="15.9" x14ac:dyDescent="0.45">
      <c r="L951" s="350">
        <v>872245</v>
      </c>
      <c r="M951" s="351" t="s">
        <v>5243</v>
      </c>
      <c r="N951" s="352" t="s">
        <v>1947</v>
      </c>
      <c r="O951" s="352" t="s">
        <v>1948</v>
      </c>
      <c r="P951" t="s">
        <v>242</v>
      </c>
    </row>
    <row r="952" spans="12:16" ht="15.9" x14ac:dyDescent="0.45">
      <c r="L952" s="350">
        <v>872247</v>
      </c>
      <c r="M952" s="351" t="s">
        <v>5246</v>
      </c>
      <c r="N952" s="352" t="s">
        <v>1949</v>
      </c>
      <c r="O952" s="352" t="s">
        <v>1950</v>
      </c>
      <c r="P952" t="s">
        <v>242</v>
      </c>
    </row>
    <row r="953" spans="12:16" ht="15.9" x14ac:dyDescent="0.45">
      <c r="L953" s="350">
        <v>872248</v>
      </c>
      <c r="M953" s="351" t="s">
        <v>5247</v>
      </c>
      <c r="N953" s="352" t="s">
        <v>1951</v>
      </c>
      <c r="O953" s="352" t="s">
        <v>1952</v>
      </c>
      <c r="P953" t="s">
        <v>242</v>
      </c>
    </row>
    <row r="954" spans="12:16" ht="15.9" x14ac:dyDescent="0.45">
      <c r="L954" s="350">
        <v>872249</v>
      </c>
      <c r="M954" s="351" t="s">
        <v>5249</v>
      </c>
      <c r="N954" s="352" t="s">
        <v>5250</v>
      </c>
      <c r="O954" s="352" t="s">
        <v>383</v>
      </c>
      <c r="P954" t="s">
        <v>242</v>
      </c>
    </row>
    <row r="955" spans="12:16" ht="15.9" x14ac:dyDescent="0.45">
      <c r="L955" s="350">
        <v>872300</v>
      </c>
      <c r="M955" s="351" t="s">
        <v>5251</v>
      </c>
      <c r="N955" s="352" t="s">
        <v>1954</v>
      </c>
      <c r="O955" s="352" t="s">
        <v>383</v>
      </c>
      <c r="P955" t="s">
        <v>242</v>
      </c>
    </row>
    <row r="956" spans="12:16" ht="15.9" x14ac:dyDescent="0.45">
      <c r="L956" s="350">
        <v>872845</v>
      </c>
      <c r="M956" s="351" t="s">
        <v>5253</v>
      </c>
      <c r="N956" s="352" t="s">
        <v>5254</v>
      </c>
      <c r="O956" s="352" t="s">
        <v>1955</v>
      </c>
      <c r="P956" t="s">
        <v>242</v>
      </c>
    </row>
    <row r="957" spans="12:16" ht="15.9" x14ac:dyDescent="0.45">
      <c r="L957" s="350">
        <v>872911</v>
      </c>
      <c r="M957" s="351" t="s">
        <v>5255</v>
      </c>
      <c r="N957" s="352" t="s">
        <v>1956</v>
      </c>
      <c r="O957" s="352" t="s">
        <v>1957</v>
      </c>
      <c r="P957" t="s">
        <v>242</v>
      </c>
    </row>
    <row r="958" spans="12:16" ht="15.9" x14ac:dyDescent="0.45">
      <c r="L958" s="350">
        <v>881310</v>
      </c>
      <c r="M958" s="351" t="s">
        <v>5256</v>
      </c>
      <c r="N958" s="352" t="s">
        <v>5257</v>
      </c>
      <c r="O958" s="352" t="s">
        <v>383</v>
      </c>
      <c r="P958" t="s">
        <v>242</v>
      </c>
    </row>
    <row r="959" spans="12:16" ht="15.9" x14ac:dyDescent="0.45">
      <c r="L959" s="350">
        <v>882110</v>
      </c>
      <c r="M959" s="351" t="s">
        <v>5258</v>
      </c>
      <c r="N959" s="352" t="s">
        <v>5259</v>
      </c>
      <c r="O959" s="352" t="s">
        <v>383</v>
      </c>
      <c r="P959" t="s">
        <v>242</v>
      </c>
    </row>
    <row r="960" spans="12:16" ht="15.9" x14ac:dyDescent="0.45">
      <c r="L960" s="350">
        <v>882210</v>
      </c>
      <c r="M960" s="351" t="s">
        <v>3913</v>
      </c>
      <c r="N960" s="352" t="s">
        <v>5260</v>
      </c>
      <c r="O960" s="352" t="s">
        <v>383</v>
      </c>
    </row>
    <row r="961" spans="12:17" ht="15.9" x14ac:dyDescent="0.45">
      <c r="L961" s="350">
        <v>890123</v>
      </c>
      <c r="M961" s="351" t="s">
        <v>5261</v>
      </c>
      <c r="N961" s="352" t="s">
        <v>1958</v>
      </c>
      <c r="O961" s="352" t="s">
        <v>1959</v>
      </c>
    </row>
    <row r="962" spans="12:17" ht="15.9" x14ac:dyDescent="0.45">
      <c r="L962" s="350">
        <v>890127</v>
      </c>
      <c r="M962" s="351" t="s">
        <v>5262</v>
      </c>
      <c r="N962" s="352" t="s">
        <v>1960</v>
      </c>
      <c r="O962" s="352" t="s">
        <v>1961</v>
      </c>
    </row>
    <row r="963" spans="12:17" ht="15.9" x14ac:dyDescent="0.45">
      <c r="L963" s="350">
        <v>890134</v>
      </c>
      <c r="M963" s="351" t="s">
        <v>5264</v>
      </c>
      <c r="N963" s="352" t="s">
        <v>1962</v>
      </c>
      <c r="O963" s="352" t="s">
        <v>1963</v>
      </c>
    </row>
    <row r="964" spans="12:17" ht="15.9" x14ac:dyDescent="0.45">
      <c r="L964" s="350">
        <v>890136</v>
      </c>
      <c r="M964" s="351" t="s">
        <v>5265</v>
      </c>
      <c r="N964" s="352" t="s">
        <v>1964</v>
      </c>
      <c r="O964" s="352" t="s">
        <v>1965</v>
      </c>
    </row>
    <row r="965" spans="12:17" ht="15.9" x14ac:dyDescent="0.45">
      <c r="L965" s="350">
        <v>890144</v>
      </c>
      <c r="M965" s="351" t="s">
        <v>5266</v>
      </c>
      <c r="N965" s="352" t="s">
        <v>1966</v>
      </c>
      <c r="O965" s="352" t="s">
        <v>1967</v>
      </c>
    </row>
    <row r="966" spans="12:17" ht="15.9" x14ac:dyDescent="0.45">
      <c r="L966" s="350">
        <v>890151</v>
      </c>
      <c r="M966" s="351" t="s">
        <v>5267</v>
      </c>
      <c r="N966" s="352" t="s">
        <v>1969</v>
      </c>
      <c r="O966" s="352" t="s">
        <v>1970</v>
      </c>
    </row>
    <row r="967" spans="12:17" ht="15.9" x14ac:dyDescent="0.45">
      <c r="L967" s="350">
        <v>890152</v>
      </c>
      <c r="M967" s="351" t="s">
        <v>5268</v>
      </c>
      <c r="N967" s="352" t="s">
        <v>1971</v>
      </c>
      <c r="O967" s="352" t="s">
        <v>1972</v>
      </c>
    </row>
    <row r="968" spans="12:17" ht="15.9" x14ac:dyDescent="0.45">
      <c r="L968" s="350">
        <v>890154</v>
      </c>
      <c r="M968" s="351" t="s">
        <v>5269</v>
      </c>
      <c r="N968" s="352" t="s">
        <v>1973</v>
      </c>
      <c r="O968" s="352" t="s">
        <v>1974</v>
      </c>
    </row>
    <row r="969" spans="12:17" ht="15.9" x14ac:dyDescent="0.45">
      <c r="L969" s="350">
        <v>890156</v>
      </c>
      <c r="M969" s="351" t="s">
        <v>5270</v>
      </c>
      <c r="N969" s="352" t="s">
        <v>1975</v>
      </c>
      <c r="O969" s="352" t="s">
        <v>1976</v>
      </c>
    </row>
    <row r="970" spans="12:17" ht="15.9" x14ac:dyDescent="0.45">
      <c r="L970" s="350">
        <v>890158</v>
      </c>
      <c r="M970" s="351" t="s">
        <v>5271</v>
      </c>
      <c r="N970" s="352" t="s">
        <v>1977</v>
      </c>
      <c r="O970" s="352" t="s">
        <v>1978</v>
      </c>
    </row>
    <row r="971" spans="12:17" ht="15.9" x14ac:dyDescent="0.45">
      <c r="L971" s="350">
        <v>890171</v>
      </c>
      <c r="M971" s="351" t="s">
        <v>5272</v>
      </c>
      <c r="N971" s="352" t="s">
        <v>5273</v>
      </c>
      <c r="O971" s="352" t="s">
        <v>1979</v>
      </c>
    </row>
    <row r="972" spans="12:17" ht="15.9" x14ac:dyDescent="0.45">
      <c r="L972" s="350">
        <v>890172</v>
      </c>
      <c r="M972" s="351" t="s">
        <v>5274</v>
      </c>
      <c r="N972" s="352" t="s">
        <v>5275</v>
      </c>
      <c r="O972" s="352" t="s">
        <v>383</v>
      </c>
      <c r="P972" s="375"/>
    </row>
    <row r="973" spans="12:17" ht="15.9" x14ac:dyDescent="0.45">
      <c r="L973" s="350">
        <v>890181</v>
      </c>
      <c r="M973" s="351" t="s">
        <v>5276</v>
      </c>
      <c r="N973" s="352" t="s">
        <v>1980</v>
      </c>
      <c r="O973" s="352" t="s">
        <v>1981</v>
      </c>
      <c r="Q973" s="376" t="s">
        <v>5491</v>
      </c>
    </row>
    <row r="974" spans="12:17" ht="15.9" x14ac:dyDescent="0.45">
      <c r="L974" s="350">
        <v>890185</v>
      </c>
      <c r="M974" s="351" t="s">
        <v>5278</v>
      </c>
      <c r="N974" s="352" t="s">
        <v>1982</v>
      </c>
      <c r="O974" s="352" t="s">
        <v>1983</v>
      </c>
    </row>
    <row r="975" spans="12:17" ht="15.9" x14ac:dyDescent="0.45">
      <c r="L975" s="350">
        <v>890187</v>
      </c>
      <c r="M975" s="351" t="s">
        <v>3802</v>
      </c>
      <c r="N975" s="352" t="s">
        <v>1984</v>
      </c>
      <c r="O975" s="352" t="s">
        <v>1985</v>
      </c>
    </row>
    <row r="976" spans="12:17" ht="15.9" x14ac:dyDescent="0.45">
      <c r="L976" s="350">
        <v>890197</v>
      </c>
      <c r="M976" s="351" t="s">
        <v>5279</v>
      </c>
      <c r="N976" s="352" t="s">
        <v>1986</v>
      </c>
      <c r="O976" s="352" t="s">
        <v>1987</v>
      </c>
    </row>
    <row r="977" spans="12:15" ht="15.9" x14ac:dyDescent="0.45">
      <c r="L977" s="350">
        <v>891021</v>
      </c>
      <c r="M977" s="351" t="s">
        <v>5281</v>
      </c>
      <c r="N977" s="352" t="s">
        <v>3761</v>
      </c>
      <c r="O977" s="352" t="s">
        <v>383</v>
      </c>
    </row>
    <row r="978" spans="12:15" ht="15.9" x14ac:dyDescent="0.45">
      <c r="L978" s="350">
        <v>891022</v>
      </c>
      <c r="M978" s="351" t="s">
        <v>5282</v>
      </c>
      <c r="N978" s="352" t="s">
        <v>1988</v>
      </c>
      <c r="O978" s="352" t="s">
        <v>383</v>
      </c>
    </row>
    <row r="979" spans="12:15" ht="15.9" x14ac:dyDescent="0.45">
      <c r="L979" s="350">
        <v>891023</v>
      </c>
      <c r="M979" s="351" t="s">
        <v>5283</v>
      </c>
      <c r="N979" s="352" t="s">
        <v>1989</v>
      </c>
      <c r="O979" s="352" t="s">
        <v>383</v>
      </c>
    </row>
    <row r="980" spans="12:15" ht="15.9" x14ac:dyDescent="0.45">
      <c r="L980" s="350">
        <v>891024</v>
      </c>
      <c r="M980" s="351" t="s">
        <v>5284</v>
      </c>
      <c r="N980" s="352" t="s">
        <v>1990</v>
      </c>
      <c r="O980" s="352" t="s">
        <v>383</v>
      </c>
    </row>
    <row r="981" spans="12:15" ht="15.9" x14ac:dyDescent="0.45">
      <c r="L981" s="350">
        <v>892921</v>
      </c>
      <c r="M981" s="351" t="s">
        <v>5285</v>
      </c>
      <c r="N981" s="352" t="s">
        <v>1991</v>
      </c>
      <c r="O981" s="352" t="s">
        <v>383</v>
      </c>
    </row>
    <row r="982" spans="12:15" ht="15.9" x14ac:dyDescent="0.45">
      <c r="L982" s="350">
        <v>892922</v>
      </c>
      <c r="M982" s="351" t="s">
        <v>5287</v>
      </c>
      <c r="N982" s="352" t="s">
        <v>1992</v>
      </c>
      <c r="O982" s="352" t="s">
        <v>383</v>
      </c>
    </row>
    <row r="983" spans="12:15" ht="15.9" x14ac:dyDescent="0.45">
      <c r="L983" s="350">
        <v>892923</v>
      </c>
      <c r="M983" s="351" t="s">
        <v>5288</v>
      </c>
      <c r="N983" s="352" t="s">
        <v>1993</v>
      </c>
      <c r="O983" s="352" t="s">
        <v>383</v>
      </c>
    </row>
    <row r="984" spans="12:15" ht="15.9" x14ac:dyDescent="0.45">
      <c r="L984" s="350">
        <v>892924</v>
      </c>
      <c r="M984" s="351" t="s">
        <v>5289</v>
      </c>
      <c r="N984" s="352" t="s">
        <v>5290</v>
      </c>
      <c r="O984" s="352" t="s">
        <v>383</v>
      </c>
    </row>
    <row r="985" spans="12:15" ht="15.9" x14ac:dyDescent="0.45">
      <c r="L985" s="350">
        <v>895200</v>
      </c>
      <c r="M985" s="351" t="s">
        <v>5291</v>
      </c>
      <c r="N985" s="352" t="s">
        <v>5292</v>
      </c>
      <c r="O985" s="352" t="s">
        <v>383</v>
      </c>
    </row>
    <row r="986" spans="12:15" ht="15.9" x14ac:dyDescent="0.45">
      <c r="L986" s="350">
        <v>911125</v>
      </c>
      <c r="M986" s="351" t="s">
        <v>5293</v>
      </c>
      <c r="N986" s="352" t="s">
        <v>1995</v>
      </c>
      <c r="O986" s="352" t="s">
        <v>383</v>
      </c>
    </row>
    <row r="987" spans="12:15" ht="15.9" x14ac:dyDescent="0.45">
      <c r="L987" s="350">
        <v>911127</v>
      </c>
      <c r="M987" s="351" t="s">
        <v>5294</v>
      </c>
      <c r="N987" s="352" t="s">
        <v>1996</v>
      </c>
      <c r="O987" s="352" t="s">
        <v>383</v>
      </c>
    </row>
    <row r="988" spans="12:15" ht="15.9" x14ac:dyDescent="0.45">
      <c r="L988" s="350">
        <v>911142</v>
      </c>
      <c r="M988" s="351" t="s">
        <v>5295</v>
      </c>
      <c r="N988" s="352" t="s">
        <v>1997</v>
      </c>
      <c r="O988" s="352" t="s">
        <v>383</v>
      </c>
    </row>
    <row r="989" spans="12:15" ht="15.9" x14ac:dyDescent="0.45">
      <c r="L989" s="350">
        <v>911146</v>
      </c>
      <c r="M989" s="351" t="s">
        <v>3559</v>
      </c>
      <c r="N989" s="352" t="s">
        <v>1998</v>
      </c>
      <c r="O989" s="352" t="s">
        <v>383</v>
      </c>
    </row>
    <row r="990" spans="12:15" ht="15.9" x14ac:dyDescent="0.45">
      <c r="L990" s="350">
        <v>912262</v>
      </c>
      <c r="M990" s="351" t="s">
        <v>5296</v>
      </c>
      <c r="N990" s="352" t="s">
        <v>2000</v>
      </c>
      <c r="O990" s="352" t="s">
        <v>383</v>
      </c>
    </row>
    <row r="991" spans="12:15" ht="15.9" x14ac:dyDescent="0.45">
      <c r="L991" s="350">
        <v>913384</v>
      </c>
      <c r="M991" s="351" t="s">
        <v>5298</v>
      </c>
      <c r="N991" s="352" t="s">
        <v>2001</v>
      </c>
      <c r="O991" s="352" t="s">
        <v>383</v>
      </c>
    </row>
    <row r="992" spans="12:15" ht="15.9" x14ac:dyDescent="0.45">
      <c r="L992" s="350">
        <v>913393</v>
      </c>
      <c r="M992" s="351" t="s">
        <v>5299</v>
      </c>
      <c r="N992" s="352" t="s">
        <v>2002</v>
      </c>
      <c r="O992" s="352" t="s">
        <v>383</v>
      </c>
    </row>
    <row r="993" spans="12:15" ht="15.9" x14ac:dyDescent="0.45">
      <c r="L993" s="350">
        <v>914263</v>
      </c>
      <c r="M993" s="351" t="s">
        <v>5300</v>
      </c>
      <c r="N993" s="352" t="s">
        <v>2003</v>
      </c>
      <c r="O993" s="352" t="s">
        <v>383</v>
      </c>
    </row>
    <row r="994" spans="12:15" ht="15.9" x14ac:dyDescent="0.45">
      <c r="L994" s="350">
        <v>921164</v>
      </c>
      <c r="M994" s="351" t="s">
        <v>5301</v>
      </c>
      <c r="N994" s="352" t="s">
        <v>2004</v>
      </c>
      <c r="O994" s="352" t="s">
        <v>383</v>
      </c>
    </row>
    <row r="995" spans="12:15" ht="15.9" x14ac:dyDescent="0.45">
      <c r="L995" s="350">
        <v>921167</v>
      </c>
      <c r="M995" s="351" t="s">
        <v>5302</v>
      </c>
      <c r="N995" s="352" t="s">
        <v>2005</v>
      </c>
      <c r="O995" s="352" t="s">
        <v>383</v>
      </c>
    </row>
    <row r="996" spans="12:15" ht="15.9" x14ac:dyDescent="0.45">
      <c r="L996" s="350">
        <v>921168</v>
      </c>
      <c r="M996" s="351" t="s">
        <v>5303</v>
      </c>
      <c r="N996" s="352" t="s">
        <v>5304</v>
      </c>
      <c r="O996" s="352" t="s">
        <v>383</v>
      </c>
    </row>
    <row r="997" spans="12:15" ht="15.9" x14ac:dyDescent="0.45">
      <c r="L997" s="350">
        <v>921174</v>
      </c>
      <c r="M997" s="351" t="s">
        <v>5305</v>
      </c>
      <c r="N997" s="352" t="s">
        <v>2006</v>
      </c>
      <c r="O997" s="352" t="s">
        <v>383</v>
      </c>
    </row>
    <row r="998" spans="12:15" ht="15.9" x14ac:dyDescent="0.45">
      <c r="L998" s="350">
        <v>921177</v>
      </c>
      <c r="M998" s="351" t="s">
        <v>5306</v>
      </c>
      <c r="N998" s="352" t="s">
        <v>2007</v>
      </c>
      <c r="O998" s="352" t="s">
        <v>383</v>
      </c>
    </row>
    <row r="999" spans="12:15" ht="15.9" x14ac:dyDescent="0.45">
      <c r="L999" s="350">
        <v>921178</v>
      </c>
      <c r="M999" s="351" t="s">
        <v>5307</v>
      </c>
      <c r="N999" s="352" t="s">
        <v>5308</v>
      </c>
      <c r="O999" s="352" t="s">
        <v>383</v>
      </c>
    </row>
    <row r="1000" spans="12:15" ht="15.9" x14ac:dyDescent="0.45">
      <c r="L1000" s="350">
        <v>922274</v>
      </c>
      <c r="M1000" s="351" t="s">
        <v>5309</v>
      </c>
      <c r="N1000" s="352" t="s">
        <v>2008</v>
      </c>
      <c r="O1000" s="352" t="s">
        <v>383</v>
      </c>
    </row>
    <row r="1001" spans="12:15" ht="15.9" x14ac:dyDescent="0.45">
      <c r="L1001" s="350">
        <v>922276</v>
      </c>
      <c r="M1001" s="351" t="s">
        <v>5310</v>
      </c>
      <c r="N1001" s="352" t="s">
        <v>2009</v>
      </c>
      <c r="O1001" s="352" t="s">
        <v>383</v>
      </c>
    </row>
    <row r="1002" spans="12:15" ht="15.9" x14ac:dyDescent="0.45">
      <c r="L1002" s="350">
        <v>922278</v>
      </c>
      <c r="M1002" s="351" t="s">
        <v>5311</v>
      </c>
      <c r="N1002" s="352" t="s">
        <v>2010</v>
      </c>
      <c r="O1002" s="352" t="s">
        <v>383</v>
      </c>
    </row>
    <row r="1003" spans="12:15" ht="15.9" x14ac:dyDescent="0.45">
      <c r="L1003" s="350">
        <v>922292</v>
      </c>
      <c r="M1003" s="351" t="s">
        <v>5312</v>
      </c>
      <c r="N1003" s="352" t="s">
        <v>5313</v>
      </c>
      <c r="O1003" s="352" t="s">
        <v>383</v>
      </c>
    </row>
    <row r="1004" spans="12:15" ht="15.9" x14ac:dyDescent="0.45">
      <c r="L1004" s="350">
        <v>922294</v>
      </c>
      <c r="M1004" s="351" t="s">
        <v>5314</v>
      </c>
      <c r="N1004" s="352" t="s">
        <v>2011</v>
      </c>
      <c r="O1004" s="352" t="s">
        <v>383</v>
      </c>
    </row>
    <row r="1005" spans="12:15" ht="15.9" x14ac:dyDescent="0.45">
      <c r="L1005" s="350">
        <v>922298</v>
      </c>
      <c r="M1005" s="351" t="s">
        <v>5315</v>
      </c>
      <c r="N1005" s="352" t="s">
        <v>5316</v>
      </c>
      <c r="O1005" s="352" t="s">
        <v>383</v>
      </c>
    </row>
    <row r="1006" spans="12:15" ht="15.9" x14ac:dyDescent="0.45">
      <c r="L1006" s="350">
        <v>922355</v>
      </c>
      <c r="M1006" s="351" t="s">
        <v>5317</v>
      </c>
      <c r="N1006" s="352" t="s">
        <v>2012</v>
      </c>
      <c r="O1006" s="352" t="s">
        <v>383</v>
      </c>
    </row>
    <row r="1007" spans="12:15" ht="15.9" x14ac:dyDescent="0.45">
      <c r="L1007" s="350">
        <v>922357</v>
      </c>
      <c r="M1007" s="351" t="s">
        <v>5318</v>
      </c>
      <c r="N1007" s="352" t="s">
        <v>2013</v>
      </c>
      <c r="O1007" s="352" t="s">
        <v>383</v>
      </c>
    </row>
    <row r="1008" spans="12:15" ht="15.9" x14ac:dyDescent="0.45">
      <c r="L1008" s="350">
        <v>923322</v>
      </c>
      <c r="M1008" s="351" t="s">
        <v>5319</v>
      </c>
      <c r="N1008" s="352" t="s">
        <v>2014</v>
      </c>
      <c r="O1008" s="352" t="s">
        <v>383</v>
      </c>
    </row>
    <row r="1009" spans="12:15" ht="15.9" x14ac:dyDescent="0.45">
      <c r="L1009" s="350">
        <v>923366</v>
      </c>
      <c r="M1009" s="351" t="s">
        <v>5320</v>
      </c>
      <c r="N1009" s="352" t="s">
        <v>2015</v>
      </c>
      <c r="O1009" s="352" t="s">
        <v>383</v>
      </c>
    </row>
    <row r="1010" spans="12:15" ht="15.9" x14ac:dyDescent="0.45">
      <c r="L1010" s="350">
        <v>923376</v>
      </c>
      <c r="M1010" s="351" t="s">
        <v>5321</v>
      </c>
      <c r="N1010" s="352" t="s">
        <v>2016</v>
      </c>
      <c r="O1010" s="352" t="s">
        <v>383</v>
      </c>
    </row>
  </sheetData>
  <conditionalFormatting sqref="H62">
    <cfRule type="duplicateValues" dxfId="3" priority="1"/>
  </conditionalFormatting>
  <conditionalFormatting sqref="H87 H97:H1048576 H47:H49">
    <cfRule type="duplicateValues" dxfId="2" priority="2"/>
  </conditionalFormatting>
  <hyperlinks>
    <hyperlink ref="O312" r:id="rId1" xr:uid="{04483FD8-3104-4172-B925-44A2F56FE935}"/>
    <hyperlink ref="O313" r:id="rId2" xr:uid="{87B9F8AD-FB2F-4C67-A620-EA51422CACD3}"/>
    <hyperlink ref="O314" r:id="rId3" xr:uid="{6DA2C4C1-0A10-423A-9AD7-C1FB6272E729}"/>
    <hyperlink ref="O317" r:id="rId4" xr:uid="{BD7DA54D-CC30-4926-8D52-884DE4F2C7FB}"/>
    <hyperlink ref="O319" r:id="rId5" xr:uid="{CAF19DCF-2F7A-4388-821D-FD2172D836E9}"/>
    <hyperlink ref="O770" r:id="rId6" xr:uid="{DADB7169-AEBE-4D98-8B6E-D68D8CC9AB79}"/>
  </hyperlinks>
  <pageMargins left="0.7" right="0.7" top="0.75" bottom="0.75" header="0.3" footer="0.3"/>
  <pageSetup orientation="portrait" r:id="rId7"/>
  <tableParts count="11">
    <tablePart r:id="rId8"/>
    <tablePart r:id="rId9"/>
    <tablePart r:id="rId10"/>
    <tablePart r:id="rId11"/>
    <tablePart r:id="rId12"/>
    <tablePart r:id="rId13"/>
    <tablePart r:id="rId14"/>
    <tablePart r:id="rId15"/>
    <tablePart r:id="rId16"/>
    <tablePart r:id="rId17"/>
    <tablePart r:id="rId18"/>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2CC13-9BF0-47BC-8494-6EF95D701D9E}">
  <sheetPr codeName="Sheet16"/>
  <dimension ref="A1:JC1010"/>
  <sheetViews>
    <sheetView zoomScale="90" zoomScaleNormal="90" workbookViewId="0">
      <pane ySplit="1" topLeftCell="A543" activePane="bottomLeft" state="frozen"/>
      <selection activeCell="L12" sqref="L12"/>
      <selection pane="bottomLeft" activeCell="G629" sqref="G629"/>
    </sheetView>
  </sheetViews>
  <sheetFormatPr defaultColWidth="8.84375" defaultRowHeight="30" customHeight="1" x14ac:dyDescent="0.4"/>
  <cols>
    <col min="1" max="1" width="12.84375" style="339" customWidth="1"/>
    <col min="2" max="2" width="36.53515625" style="340" customWidth="1"/>
    <col min="3" max="3" width="24.4609375" style="341" customWidth="1"/>
    <col min="4" max="4" width="16.3828125" style="342" customWidth="1"/>
    <col min="5" max="5" width="54.23046875" style="343" customWidth="1"/>
    <col min="6" max="6" width="45.84375" style="343" customWidth="1"/>
    <col min="7" max="7" width="36.4609375" style="343" customWidth="1"/>
    <col min="8" max="8" width="18" style="341" customWidth="1"/>
    <col min="9" max="9" width="25.84375" style="341" customWidth="1"/>
    <col min="10" max="10" width="13" style="342" customWidth="1"/>
    <col min="11" max="11" width="15.15234375" style="344" customWidth="1"/>
    <col min="12" max="12" width="42.15234375" style="341" customWidth="1"/>
    <col min="13" max="13" width="18.53515625" style="342" bestFit="1" customWidth="1"/>
    <col min="14" max="14" width="17.69140625" style="342" bestFit="1" customWidth="1"/>
    <col min="15" max="15" width="16.15234375" style="345" customWidth="1"/>
    <col min="16" max="16" width="15.84375" style="346" customWidth="1"/>
    <col min="17" max="17" width="16" style="342" customWidth="1"/>
    <col min="18" max="18" width="16.15234375" style="345" customWidth="1"/>
    <col min="19" max="19" width="15.84375" style="345" customWidth="1"/>
    <col min="20" max="20" width="13.4609375" style="342" customWidth="1"/>
    <col min="21" max="21" width="15.53515625" style="342" customWidth="1"/>
    <col min="22" max="23" width="18.53515625" style="347" customWidth="1"/>
    <col min="24" max="263" width="8.84375" style="321"/>
    <col min="264" max="16384" width="8.84375" style="322"/>
  </cols>
  <sheetData>
    <row r="1" spans="1:23" ht="57" customHeight="1" x14ac:dyDescent="0.4">
      <c r="A1" s="317" t="s">
        <v>238</v>
      </c>
      <c r="B1" s="318" t="s">
        <v>239</v>
      </c>
      <c r="C1" s="319" t="s">
        <v>2017</v>
      </c>
      <c r="D1" s="319" t="s">
        <v>3944</v>
      </c>
      <c r="E1" s="319" t="s">
        <v>240</v>
      </c>
      <c r="F1" s="319" t="s">
        <v>2018</v>
      </c>
      <c r="G1" s="319" t="s">
        <v>241</v>
      </c>
      <c r="H1" s="319" t="s">
        <v>2019</v>
      </c>
      <c r="I1" s="319" t="s">
        <v>2020</v>
      </c>
      <c r="J1" s="319" t="s">
        <v>2021</v>
      </c>
      <c r="K1" s="319" t="s">
        <v>2022</v>
      </c>
      <c r="L1" s="319" t="s">
        <v>2023</v>
      </c>
      <c r="M1" s="319" t="s">
        <v>2024</v>
      </c>
      <c r="N1" s="319" t="s">
        <v>2025</v>
      </c>
      <c r="O1" s="319" t="s">
        <v>3762</v>
      </c>
      <c r="P1" s="319" t="s">
        <v>2026</v>
      </c>
      <c r="Q1" s="319" t="s">
        <v>2027</v>
      </c>
      <c r="R1" s="320" t="s">
        <v>2028</v>
      </c>
      <c r="S1" s="320" t="s">
        <v>2029</v>
      </c>
      <c r="T1" s="319" t="s">
        <v>2030</v>
      </c>
      <c r="U1" s="319" t="s">
        <v>2031</v>
      </c>
      <c r="V1" s="319" t="s">
        <v>2032</v>
      </c>
      <c r="W1" s="319" t="s">
        <v>2033</v>
      </c>
    </row>
    <row r="2" spans="1:23" ht="45" customHeight="1" x14ac:dyDescent="0.4">
      <c r="A2" s="323">
        <v>111111</v>
      </c>
      <c r="B2" s="324" t="s">
        <v>3945</v>
      </c>
      <c r="C2" s="325" t="s">
        <v>252</v>
      </c>
      <c r="D2" s="326" t="s">
        <v>2034</v>
      </c>
      <c r="E2" s="327" t="s">
        <v>3687</v>
      </c>
      <c r="F2" s="327" t="s">
        <v>3946</v>
      </c>
      <c r="G2" s="327" t="s">
        <v>253</v>
      </c>
      <c r="H2" s="325" t="s">
        <v>2035</v>
      </c>
      <c r="I2" s="325" t="s">
        <v>2036</v>
      </c>
      <c r="J2" s="328">
        <v>11</v>
      </c>
      <c r="K2" s="329">
        <v>1111</v>
      </c>
      <c r="L2" s="325" t="s">
        <v>2037</v>
      </c>
      <c r="M2" s="326" t="s">
        <v>2038</v>
      </c>
      <c r="N2" s="326" t="s">
        <v>2039</v>
      </c>
      <c r="O2" s="330">
        <v>263.74</v>
      </c>
      <c r="P2" s="330">
        <v>3.76</v>
      </c>
      <c r="Q2" s="331">
        <v>1111</v>
      </c>
      <c r="R2" s="330">
        <v>40000</v>
      </c>
      <c r="S2" s="330">
        <v>68000</v>
      </c>
      <c r="T2" s="326" t="s">
        <v>170</v>
      </c>
      <c r="U2" s="326" t="s">
        <v>2040</v>
      </c>
      <c r="V2" s="332">
        <v>11110</v>
      </c>
      <c r="W2" s="333">
        <v>11110</v>
      </c>
    </row>
    <row r="3" spans="1:23" ht="45" customHeight="1" x14ac:dyDescent="0.4">
      <c r="A3" s="323">
        <v>111115</v>
      </c>
      <c r="B3" s="324" t="s">
        <v>3947</v>
      </c>
      <c r="C3" s="325" t="s">
        <v>256</v>
      </c>
      <c r="D3" s="326" t="s">
        <v>2034</v>
      </c>
      <c r="E3" s="327" t="s">
        <v>3948</v>
      </c>
      <c r="F3" s="327" t="s">
        <v>2041</v>
      </c>
      <c r="G3" s="327" t="s">
        <v>257</v>
      </c>
      <c r="H3" s="325" t="s">
        <v>2035</v>
      </c>
      <c r="I3" s="325" t="s">
        <v>2036</v>
      </c>
      <c r="J3" s="328">
        <v>11</v>
      </c>
      <c r="K3" s="329">
        <v>1113</v>
      </c>
      <c r="L3" s="325" t="s">
        <v>2042</v>
      </c>
      <c r="M3" s="326" t="s">
        <v>2038</v>
      </c>
      <c r="N3" s="326" t="s">
        <v>2039</v>
      </c>
      <c r="O3" s="330">
        <v>236.46</v>
      </c>
      <c r="P3" s="330">
        <v>3.32</v>
      </c>
      <c r="Q3" s="331">
        <v>1113</v>
      </c>
      <c r="R3" s="330">
        <v>100000</v>
      </c>
      <c r="S3" s="330">
        <v>16000</v>
      </c>
      <c r="T3" s="326" t="s">
        <v>170</v>
      </c>
      <c r="U3" s="326" t="s">
        <v>2040</v>
      </c>
      <c r="V3" s="332">
        <v>11151</v>
      </c>
      <c r="W3" s="333">
        <v>11130</v>
      </c>
    </row>
    <row r="4" spans="1:23" ht="45" customHeight="1" x14ac:dyDescent="0.4">
      <c r="A4" s="323">
        <v>111310</v>
      </c>
      <c r="B4" s="324" t="s">
        <v>3949</v>
      </c>
      <c r="C4" s="325" t="s">
        <v>3763</v>
      </c>
      <c r="D4" s="326" t="s">
        <v>2034</v>
      </c>
      <c r="E4" s="327" t="s">
        <v>3950</v>
      </c>
      <c r="F4" s="327"/>
      <c r="G4" s="327" t="s">
        <v>383</v>
      </c>
      <c r="H4" s="325" t="s">
        <v>2035</v>
      </c>
      <c r="I4" s="325"/>
      <c r="J4" s="328">
        <v>11</v>
      </c>
      <c r="K4" s="329">
        <v>1166</v>
      </c>
      <c r="L4" s="325" t="s">
        <v>3764</v>
      </c>
      <c r="M4" s="326" t="s">
        <v>2038</v>
      </c>
      <c r="N4" s="326"/>
      <c r="O4" s="330">
        <v>48.54</v>
      </c>
      <c r="P4" s="330">
        <v>2.13</v>
      </c>
      <c r="Q4" s="331">
        <v>1166</v>
      </c>
      <c r="R4" s="330">
        <v>200000</v>
      </c>
      <c r="S4" s="330">
        <v>87000</v>
      </c>
      <c r="T4" s="326" t="s">
        <v>170</v>
      </c>
      <c r="U4" s="326" t="s">
        <v>2040</v>
      </c>
      <c r="V4" s="332"/>
      <c r="W4" s="333"/>
    </row>
    <row r="5" spans="1:23" ht="45" customHeight="1" x14ac:dyDescent="0.4">
      <c r="A5" s="323">
        <v>111411</v>
      </c>
      <c r="B5" s="324" t="s">
        <v>3951</v>
      </c>
      <c r="C5" s="325" t="s">
        <v>260</v>
      </c>
      <c r="D5" s="326" t="s">
        <v>2034</v>
      </c>
      <c r="E5" s="327" t="s">
        <v>261</v>
      </c>
      <c r="F5" s="327" t="s">
        <v>3952</v>
      </c>
      <c r="G5" s="327" t="s">
        <v>262</v>
      </c>
      <c r="H5" s="325" t="s">
        <v>2035</v>
      </c>
      <c r="I5" s="325" t="s">
        <v>2036</v>
      </c>
      <c r="J5" s="328">
        <v>11</v>
      </c>
      <c r="K5" s="329">
        <v>1114</v>
      </c>
      <c r="L5" s="325" t="s">
        <v>2043</v>
      </c>
      <c r="M5" s="326" t="s">
        <v>2038</v>
      </c>
      <c r="N5" s="326" t="s">
        <v>2039</v>
      </c>
      <c r="O5" s="330">
        <v>48.54</v>
      </c>
      <c r="P5" s="330">
        <v>2.13</v>
      </c>
      <c r="Q5" s="331">
        <v>1114</v>
      </c>
      <c r="R5" s="330">
        <v>160000</v>
      </c>
      <c r="S5" s="330">
        <v>53000</v>
      </c>
      <c r="T5" s="326" t="s">
        <v>170</v>
      </c>
      <c r="U5" s="326" t="s">
        <v>2040</v>
      </c>
      <c r="V5" s="332">
        <v>11111</v>
      </c>
      <c r="W5" s="333">
        <v>11112</v>
      </c>
    </row>
    <row r="6" spans="1:23" ht="45" customHeight="1" x14ac:dyDescent="0.4">
      <c r="A6" s="323">
        <v>111500</v>
      </c>
      <c r="B6" s="324" t="s">
        <v>3953</v>
      </c>
      <c r="C6" s="325" t="s">
        <v>2044</v>
      </c>
      <c r="D6" s="326" t="s">
        <v>2045</v>
      </c>
      <c r="E6" s="327" t="s">
        <v>3954</v>
      </c>
      <c r="F6" s="327"/>
      <c r="G6" s="327" t="s">
        <v>383</v>
      </c>
      <c r="H6" s="325" t="e">
        <v>#N/A</v>
      </c>
      <c r="I6" s="325" t="e">
        <v>#N/A</v>
      </c>
      <c r="J6" s="326">
        <v>11</v>
      </c>
      <c r="K6" s="329">
        <v>1115</v>
      </c>
      <c r="L6" s="325" t="s">
        <v>2046</v>
      </c>
      <c r="M6" s="326" t="s">
        <v>2038</v>
      </c>
      <c r="N6" s="326" t="s">
        <v>2039</v>
      </c>
      <c r="O6" s="330">
        <v>118.29</v>
      </c>
      <c r="P6" s="330">
        <v>1.44</v>
      </c>
      <c r="Q6" s="331">
        <v>1115</v>
      </c>
      <c r="R6" s="330">
        <v>12000</v>
      </c>
      <c r="S6" s="330">
        <v>6600</v>
      </c>
      <c r="T6" s="326" t="s">
        <v>170</v>
      </c>
      <c r="U6" s="326" t="s">
        <v>2040</v>
      </c>
      <c r="V6" s="332">
        <v>11150</v>
      </c>
      <c r="W6" s="333"/>
    </row>
    <row r="7" spans="1:23" ht="45" customHeight="1" x14ac:dyDescent="0.4">
      <c r="A7" s="323">
        <v>112210</v>
      </c>
      <c r="B7" s="324" t="s">
        <v>3955</v>
      </c>
      <c r="C7" s="325" t="s">
        <v>3765</v>
      </c>
      <c r="D7" s="326" t="s">
        <v>2034</v>
      </c>
      <c r="E7" s="327" t="s">
        <v>3956</v>
      </c>
      <c r="F7" s="327"/>
      <c r="G7" s="327" t="s">
        <v>383</v>
      </c>
      <c r="H7" s="325" t="s">
        <v>2035</v>
      </c>
      <c r="I7" s="325" t="s">
        <v>2036</v>
      </c>
      <c r="J7" s="328">
        <v>11</v>
      </c>
      <c r="K7" s="329">
        <v>1122</v>
      </c>
      <c r="L7" s="325" t="s">
        <v>3766</v>
      </c>
      <c r="M7" s="326" t="s">
        <v>2038</v>
      </c>
      <c r="N7" s="326" t="s">
        <v>2039</v>
      </c>
      <c r="O7" s="330">
        <v>164.61</v>
      </c>
      <c r="P7" s="330">
        <v>3.32</v>
      </c>
      <c r="Q7" s="331">
        <v>1122</v>
      </c>
      <c r="R7" s="330">
        <v>65000</v>
      </c>
      <c r="S7" s="330">
        <v>12000</v>
      </c>
      <c r="T7" s="326" t="s">
        <v>170</v>
      </c>
      <c r="U7" s="326" t="s">
        <v>2040</v>
      </c>
      <c r="V7" s="332"/>
      <c r="W7" s="333"/>
    </row>
    <row r="8" spans="1:23" ht="45" customHeight="1" x14ac:dyDescent="0.4">
      <c r="A8" s="323">
        <v>112211</v>
      </c>
      <c r="B8" s="324" t="s">
        <v>3957</v>
      </c>
      <c r="C8" s="325" t="s">
        <v>268</v>
      </c>
      <c r="D8" s="326" t="s">
        <v>2034</v>
      </c>
      <c r="E8" s="327" t="s">
        <v>269</v>
      </c>
      <c r="F8" s="327" t="s">
        <v>2047</v>
      </c>
      <c r="G8" s="327" t="s">
        <v>270</v>
      </c>
      <c r="H8" s="325" t="s">
        <v>2035</v>
      </c>
      <c r="I8" s="325" t="s">
        <v>2036</v>
      </c>
      <c r="J8" s="328">
        <v>11</v>
      </c>
      <c r="K8" s="329">
        <v>1121</v>
      </c>
      <c r="L8" s="325" t="s">
        <v>2048</v>
      </c>
      <c r="M8" s="326" t="s">
        <v>2038</v>
      </c>
      <c r="N8" s="326" t="s">
        <v>2039</v>
      </c>
      <c r="O8" s="330">
        <v>164.61</v>
      </c>
      <c r="P8" s="330">
        <v>3.32</v>
      </c>
      <c r="Q8" s="331">
        <v>1121</v>
      </c>
      <c r="R8" s="330">
        <v>350000</v>
      </c>
      <c r="S8" s="330">
        <v>17000</v>
      </c>
      <c r="T8" s="326" t="s">
        <v>170</v>
      </c>
      <c r="U8" s="326" t="s">
        <v>2040</v>
      </c>
      <c r="V8" s="332">
        <v>11212</v>
      </c>
      <c r="W8" s="333">
        <v>11210</v>
      </c>
    </row>
    <row r="9" spans="1:23" ht="45" customHeight="1" x14ac:dyDescent="0.4">
      <c r="A9" s="323">
        <v>113321</v>
      </c>
      <c r="B9" s="324" t="s">
        <v>3958</v>
      </c>
      <c r="C9" s="325" t="s">
        <v>273</v>
      </c>
      <c r="D9" s="326" t="s">
        <v>2034</v>
      </c>
      <c r="E9" s="327" t="s">
        <v>274</v>
      </c>
      <c r="F9" s="327" t="s">
        <v>3959</v>
      </c>
      <c r="G9" s="327" t="s">
        <v>275</v>
      </c>
      <c r="H9" s="325" t="s">
        <v>2035</v>
      </c>
      <c r="I9" s="325" t="s">
        <v>2036</v>
      </c>
      <c r="J9" s="328">
        <v>11</v>
      </c>
      <c r="K9" s="329">
        <v>1131</v>
      </c>
      <c r="L9" s="325" t="s">
        <v>2049</v>
      </c>
      <c r="M9" s="326" t="s">
        <v>2038</v>
      </c>
      <c r="N9" s="326"/>
      <c r="O9" s="330">
        <v>198.06</v>
      </c>
      <c r="P9" s="330">
        <v>3.32</v>
      </c>
      <c r="Q9" s="331">
        <v>1131</v>
      </c>
      <c r="R9" s="330">
        <v>750000</v>
      </c>
      <c r="S9" s="330">
        <v>18000</v>
      </c>
      <c r="T9" s="326" t="s">
        <v>170</v>
      </c>
      <c r="U9" s="326" t="s">
        <v>2040</v>
      </c>
      <c r="V9" s="332" t="s">
        <v>2050</v>
      </c>
      <c r="W9" s="333"/>
    </row>
    <row r="10" spans="1:23" ht="45" customHeight="1" x14ac:dyDescent="0.4">
      <c r="A10" s="323">
        <v>116116</v>
      </c>
      <c r="B10" s="324" t="s">
        <v>3960</v>
      </c>
      <c r="C10" s="325" t="s">
        <v>2051</v>
      </c>
      <c r="D10" s="326" t="s">
        <v>2034</v>
      </c>
      <c r="E10" s="327" t="s">
        <v>279</v>
      </c>
      <c r="F10" s="327" t="s">
        <v>3961</v>
      </c>
      <c r="G10" s="327" t="s">
        <v>280</v>
      </c>
      <c r="H10" s="325" t="s">
        <v>2035</v>
      </c>
      <c r="I10" s="325" t="s">
        <v>2036</v>
      </c>
      <c r="J10" s="328">
        <v>11</v>
      </c>
      <c r="K10" s="329">
        <v>1111</v>
      </c>
      <c r="L10" s="325" t="s">
        <v>2037</v>
      </c>
      <c r="M10" s="326" t="s">
        <v>2038</v>
      </c>
      <c r="N10" s="326" t="s">
        <v>2039</v>
      </c>
      <c r="O10" s="330">
        <v>263.74</v>
      </c>
      <c r="P10" s="330">
        <v>3.76</v>
      </c>
      <c r="Q10" s="331">
        <v>1111</v>
      </c>
      <c r="R10" s="330">
        <v>40000</v>
      </c>
      <c r="S10" s="330">
        <v>68000</v>
      </c>
      <c r="T10" s="326" t="s">
        <v>170</v>
      </c>
      <c r="U10" s="326" t="s">
        <v>2040</v>
      </c>
      <c r="V10" s="332">
        <v>11110</v>
      </c>
      <c r="W10" s="333">
        <v>11110</v>
      </c>
    </row>
    <row r="11" spans="1:23" ht="45" customHeight="1" x14ac:dyDescent="0.4">
      <c r="A11" s="334">
        <v>116150</v>
      </c>
      <c r="B11" s="324" t="s">
        <v>3962</v>
      </c>
      <c r="C11" s="325" t="s">
        <v>3963</v>
      </c>
      <c r="D11" s="326" t="s">
        <v>2034</v>
      </c>
      <c r="E11" s="327" t="s">
        <v>3964</v>
      </c>
      <c r="F11" s="327"/>
      <c r="G11" s="327" t="s">
        <v>383</v>
      </c>
      <c r="H11" s="325" t="s">
        <v>2035</v>
      </c>
      <c r="I11" s="325"/>
      <c r="J11" s="328">
        <v>11</v>
      </c>
      <c r="K11" s="329">
        <v>1167</v>
      </c>
      <c r="L11" s="325" t="s">
        <v>3962</v>
      </c>
      <c r="M11" s="326" t="s">
        <v>2038</v>
      </c>
      <c r="N11" s="326"/>
      <c r="O11" s="330">
        <v>316.22000000000003</v>
      </c>
      <c r="P11" s="330">
        <v>3.32</v>
      </c>
      <c r="Q11" s="331">
        <v>1167</v>
      </c>
      <c r="R11" s="330">
        <v>5000</v>
      </c>
      <c r="S11" s="330">
        <v>1900</v>
      </c>
      <c r="T11" s="326" t="s">
        <v>170</v>
      </c>
      <c r="U11" s="326" t="s">
        <v>2040</v>
      </c>
      <c r="V11" s="332"/>
      <c r="W11" s="333"/>
    </row>
    <row r="12" spans="1:23" ht="45" customHeight="1" x14ac:dyDescent="0.4">
      <c r="A12" s="323">
        <v>116401</v>
      </c>
      <c r="B12" s="324" t="s">
        <v>3965</v>
      </c>
      <c r="C12" s="325" t="s">
        <v>2052</v>
      </c>
      <c r="D12" s="326" t="s">
        <v>2034</v>
      </c>
      <c r="E12" s="327" t="s">
        <v>3966</v>
      </c>
      <c r="F12" s="327"/>
      <c r="G12" s="327" t="s">
        <v>3688</v>
      </c>
      <c r="H12" s="325" t="s">
        <v>2035</v>
      </c>
      <c r="I12" s="325" t="s">
        <v>2036</v>
      </c>
      <c r="J12" s="328">
        <v>11</v>
      </c>
      <c r="K12" s="329">
        <v>1164</v>
      </c>
      <c r="L12" s="325" t="s">
        <v>2053</v>
      </c>
      <c r="M12" s="326" t="s">
        <v>2038</v>
      </c>
      <c r="N12" s="326"/>
      <c r="O12" s="330">
        <v>163.35</v>
      </c>
      <c r="P12" s="330">
        <v>3.32</v>
      </c>
      <c r="Q12" s="331">
        <v>1164</v>
      </c>
      <c r="R12" s="330">
        <v>46000</v>
      </c>
      <c r="S12" s="330">
        <v>3200</v>
      </c>
      <c r="T12" s="326" t="s">
        <v>170</v>
      </c>
      <c r="U12" s="326" t="s">
        <v>2040</v>
      </c>
      <c r="V12" s="332"/>
      <c r="W12" s="333">
        <v>11640</v>
      </c>
    </row>
    <row r="13" spans="1:23" ht="45" customHeight="1" x14ac:dyDescent="0.4">
      <c r="A13" s="323">
        <v>116402</v>
      </c>
      <c r="B13" s="324" t="s">
        <v>3967</v>
      </c>
      <c r="C13" s="325" t="s">
        <v>285</v>
      </c>
      <c r="D13" s="326" t="s">
        <v>2034</v>
      </c>
      <c r="E13" s="327" t="s">
        <v>286</v>
      </c>
      <c r="F13" s="327"/>
      <c r="G13" s="327" t="s">
        <v>287</v>
      </c>
      <c r="H13" s="325" t="s">
        <v>2035</v>
      </c>
      <c r="I13" s="325" t="s">
        <v>2036</v>
      </c>
      <c r="J13" s="328">
        <v>11</v>
      </c>
      <c r="K13" s="329">
        <v>1164</v>
      </c>
      <c r="L13" s="325" t="s">
        <v>2053</v>
      </c>
      <c r="M13" s="326" t="s">
        <v>2038</v>
      </c>
      <c r="N13" s="326"/>
      <c r="O13" s="330">
        <v>163.35</v>
      </c>
      <c r="P13" s="330">
        <v>3.32</v>
      </c>
      <c r="Q13" s="331">
        <v>1164</v>
      </c>
      <c r="R13" s="330">
        <v>46000</v>
      </c>
      <c r="S13" s="330">
        <v>3200</v>
      </c>
      <c r="T13" s="326" t="s">
        <v>170</v>
      </c>
      <c r="U13" s="326" t="s">
        <v>2040</v>
      </c>
      <c r="V13" s="332"/>
      <c r="W13" s="333">
        <v>11660</v>
      </c>
    </row>
    <row r="14" spans="1:23" ht="45" customHeight="1" x14ac:dyDescent="0.4">
      <c r="A14" s="323">
        <v>116642</v>
      </c>
      <c r="B14" s="324" t="s">
        <v>3968</v>
      </c>
      <c r="C14" s="325" t="s">
        <v>2054</v>
      </c>
      <c r="D14" s="326" t="s">
        <v>2034</v>
      </c>
      <c r="E14" s="327" t="s">
        <v>289</v>
      </c>
      <c r="F14" s="327" t="s">
        <v>3969</v>
      </c>
      <c r="G14" s="327" t="s">
        <v>290</v>
      </c>
      <c r="H14" s="325" t="s">
        <v>2035</v>
      </c>
      <c r="I14" s="325"/>
      <c r="J14" s="328">
        <v>11</v>
      </c>
      <c r="K14" s="329">
        <v>1165</v>
      </c>
      <c r="L14" s="325" t="s">
        <v>2055</v>
      </c>
      <c r="M14" s="326" t="s">
        <v>2038</v>
      </c>
      <c r="N14" s="326"/>
      <c r="O14" s="330">
        <v>134.19</v>
      </c>
      <c r="P14" s="330">
        <v>3.32</v>
      </c>
      <c r="Q14" s="331">
        <v>1165</v>
      </c>
      <c r="R14" s="330">
        <v>400000</v>
      </c>
      <c r="S14" s="330">
        <v>20000</v>
      </c>
      <c r="T14" s="326" t="s">
        <v>170</v>
      </c>
      <c r="U14" s="326" t="s">
        <v>2040</v>
      </c>
      <c r="V14" s="332">
        <v>11651</v>
      </c>
      <c r="W14" s="333">
        <v>11612</v>
      </c>
    </row>
    <row r="15" spans="1:23" ht="45" customHeight="1" x14ac:dyDescent="0.4">
      <c r="A15" s="323">
        <v>116661</v>
      </c>
      <c r="B15" s="324" t="s">
        <v>3970</v>
      </c>
      <c r="C15" s="325" t="s">
        <v>2056</v>
      </c>
      <c r="D15" s="326" t="s">
        <v>2034</v>
      </c>
      <c r="E15" s="327" t="s">
        <v>293</v>
      </c>
      <c r="F15" s="327"/>
      <c r="G15" s="327" t="s">
        <v>294</v>
      </c>
      <c r="H15" s="325" t="s">
        <v>2057</v>
      </c>
      <c r="I15" s="325" t="s">
        <v>2035</v>
      </c>
      <c r="J15" s="328">
        <v>11</v>
      </c>
      <c r="K15" s="329">
        <v>1131</v>
      </c>
      <c r="L15" s="325" t="s">
        <v>2049</v>
      </c>
      <c r="M15" s="326" t="s">
        <v>2038</v>
      </c>
      <c r="N15" s="326"/>
      <c r="O15" s="330">
        <v>198.06</v>
      </c>
      <c r="P15" s="330">
        <v>3.32</v>
      </c>
      <c r="Q15" s="331">
        <v>1131</v>
      </c>
      <c r="R15" s="330">
        <v>750000</v>
      </c>
      <c r="S15" s="330">
        <v>18000</v>
      </c>
      <c r="T15" s="326" t="s">
        <v>170</v>
      </c>
      <c r="U15" s="326" t="s">
        <v>2040</v>
      </c>
      <c r="V15" s="332">
        <v>11380</v>
      </c>
      <c r="W15" s="333">
        <v>11635</v>
      </c>
    </row>
    <row r="16" spans="1:23" ht="45" customHeight="1" x14ac:dyDescent="0.4">
      <c r="A16" s="323">
        <v>116662</v>
      </c>
      <c r="B16" s="324" t="s">
        <v>3971</v>
      </c>
      <c r="C16" s="325" t="s">
        <v>2058</v>
      </c>
      <c r="D16" s="326" t="s">
        <v>2034</v>
      </c>
      <c r="E16" s="327" t="s">
        <v>297</v>
      </c>
      <c r="F16" s="327" t="s">
        <v>2059</v>
      </c>
      <c r="G16" s="327" t="s">
        <v>298</v>
      </c>
      <c r="H16" s="325" t="s">
        <v>2057</v>
      </c>
      <c r="I16" s="325" t="s">
        <v>2035</v>
      </c>
      <c r="J16" s="328">
        <v>11</v>
      </c>
      <c r="K16" s="329">
        <v>1131</v>
      </c>
      <c r="L16" s="325" t="s">
        <v>2049</v>
      </c>
      <c r="M16" s="326" t="s">
        <v>2038</v>
      </c>
      <c r="N16" s="326"/>
      <c r="O16" s="330">
        <v>198.06</v>
      </c>
      <c r="P16" s="330">
        <v>3.32</v>
      </c>
      <c r="Q16" s="331">
        <v>1131</v>
      </c>
      <c r="R16" s="330">
        <v>750000</v>
      </c>
      <c r="S16" s="330">
        <v>18000</v>
      </c>
      <c r="T16" s="326" t="s">
        <v>170</v>
      </c>
      <c r="U16" s="326" t="s">
        <v>2040</v>
      </c>
      <c r="V16" s="332">
        <v>11380</v>
      </c>
      <c r="W16" s="333">
        <v>11655</v>
      </c>
    </row>
    <row r="17" spans="1:23" ht="45" customHeight="1" x14ac:dyDescent="0.4">
      <c r="A17" s="323">
        <v>116663</v>
      </c>
      <c r="B17" s="324" t="s">
        <v>3972</v>
      </c>
      <c r="C17" s="325" t="s">
        <v>2060</v>
      </c>
      <c r="D17" s="326" t="s">
        <v>2034</v>
      </c>
      <c r="E17" s="327" t="s">
        <v>302</v>
      </c>
      <c r="F17" s="327" t="s">
        <v>3973</v>
      </c>
      <c r="G17" s="327" t="s">
        <v>303</v>
      </c>
      <c r="H17" s="325" t="s">
        <v>2035</v>
      </c>
      <c r="I17" s="325" t="s">
        <v>2057</v>
      </c>
      <c r="J17" s="328">
        <v>11</v>
      </c>
      <c r="K17" s="329">
        <v>1112</v>
      </c>
      <c r="L17" s="325" t="s">
        <v>2061</v>
      </c>
      <c r="M17" s="326" t="s">
        <v>2038</v>
      </c>
      <c r="N17" s="326"/>
      <c r="O17" s="330">
        <v>140.76</v>
      </c>
      <c r="P17" s="330">
        <v>3.32</v>
      </c>
      <c r="Q17" s="331">
        <v>1112</v>
      </c>
      <c r="R17" s="330">
        <v>270000</v>
      </c>
      <c r="S17" s="330">
        <v>7000</v>
      </c>
      <c r="T17" s="326" t="s">
        <v>170</v>
      </c>
      <c r="U17" s="326" t="s">
        <v>2040</v>
      </c>
      <c r="V17" s="332" t="s">
        <v>2062</v>
      </c>
      <c r="W17" s="333" t="s">
        <v>3767</v>
      </c>
    </row>
    <row r="18" spans="1:23" ht="45" customHeight="1" x14ac:dyDescent="0.4">
      <c r="A18" s="323">
        <v>116664</v>
      </c>
      <c r="B18" s="324" t="s">
        <v>3974</v>
      </c>
      <c r="C18" s="325" t="s">
        <v>2063</v>
      </c>
      <c r="D18" s="326" t="s">
        <v>2034</v>
      </c>
      <c r="E18" s="327" t="s">
        <v>306</v>
      </c>
      <c r="F18" s="327" t="s">
        <v>3975</v>
      </c>
      <c r="G18" s="327" t="s">
        <v>307</v>
      </c>
      <c r="H18" s="325" t="s">
        <v>2057</v>
      </c>
      <c r="I18" s="325" t="s">
        <v>2035</v>
      </c>
      <c r="J18" s="328">
        <v>11</v>
      </c>
      <c r="K18" s="329">
        <v>1131</v>
      </c>
      <c r="L18" s="325" t="s">
        <v>2049</v>
      </c>
      <c r="M18" s="326" t="s">
        <v>2038</v>
      </c>
      <c r="N18" s="326"/>
      <c r="O18" s="330">
        <v>198.06</v>
      </c>
      <c r="P18" s="330">
        <v>3.32</v>
      </c>
      <c r="Q18" s="331">
        <v>1131</v>
      </c>
      <c r="R18" s="330">
        <v>750000</v>
      </c>
      <c r="S18" s="330">
        <v>18000</v>
      </c>
      <c r="T18" s="326" t="s">
        <v>170</v>
      </c>
      <c r="U18" s="326" t="s">
        <v>2040</v>
      </c>
      <c r="V18" s="332">
        <v>11330</v>
      </c>
      <c r="W18" s="333"/>
    </row>
    <row r="19" spans="1:23" ht="45" customHeight="1" x14ac:dyDescent="0.4">
      <c r="A19" s="323">
        <v>116665</v>
      </c>
      <c r="B19" s="324" t="s">
        <v>3976</v>
      </c>
      <c r="C19" s="325" t="s">
        <v>2064</v>
      </c>
      <c r="D19" s="326" t="s">
        <v>2034</v>
      </c>
      <c r="E19" s="327" t="s">
        <v>3977</v>
      </c>
      <c r="F19" s="327" t="s">
        <v>3978</v>
      </c>
      <c r="G19" s="327" t="s">
        <v>309</v>
      </c>
      <c r="H19" s="325" t="s">
        <v>2057</v>
      </c>
      <c r="I19" s="325" t="s">
        <v>2035</v>
      </c>
      <c r="J19" s="328">
        <v>11</v>
      </c>
      <c r="K19" s="329">
        <v>1131</v>
      </c>
      <c r="L19" s="325" t="s">
        <v>2049</v>
      </c>
      <c r="M19" s="326" t="s">
        <v>2038</v>
      </c>
      <c r="N19" s="326"/>
      <c r="O19" s="330">
        <v>198.06</v>
      </c>
      <c r="P19" s="330">
        <v>3.32</v>
      </c>
      <c r="Q19" s="331">
        <v>1131</v>
      </c>
      <c r="R19" s="330">
        <v>750000</v>
      </c>
      <c r="S19" s="330">
        <v>18000</v>
      </c>
      <c r="T19" s="326" t="s">
        <v>170</v>
      </c>
      <c r="U19" s="326" t="s">
        <v>2040</v>
      </c>
      <c r="V19" s="332">
        <v>11330</v>
      </c>
      <c r="W19" s="333"/>
    </row>
    <row r="20" spans="1:23" ht="45" customHeight="1" x14ac:dyDescent="0.4">
      <c r="A20" s="323">
        <v>116666</v>
      </c>
      <c r="B20" s="324" t="s">
        <v>3979</v>
      </c>
      <c r="C20" s="325" t="s">
        <v>2065</v>
      </c>
      <c r="D20" s="326" t="s">
        <v>2034</v>
      </c>
      <c r="E20" s="327" t="s">
        <v>312</v>
      </c>
      <c r="F20" s="327"/>
      <c r="G20" s="327" t="s">
        <v>313</v>
      </c>
      <c r="H20" s="325" t="s">
        <v>2035</v>
      </c>
      <c r="I20" s="325" t="s">
        <v>2057</v>
      </c>
      <c r="J20" s="328">
        <v>11</v>
      </c>
      <c r="K20" s="329">
        <v>1131</v>
      </c>
      <c r="L20" s="325" t="s">
        <v>2049</v>
      </c>
      <c r="M20" s="326" t="s">
        <v>2038</v>
      </c>
      <c r="N20" s="326"/>
      <c r="O20" s="330">
        <v>198.06</v>
      </c>
      <c r="P20" s="330">
        <v>3.32</v>
      </c>
      <c r="Q20" s="331">
        <v>1131</v>
      </c>
      <c r="R20" s="330">
        <v>750000</v>
      </c>
      <c r="S20" s="330">
        <v>18000</v>
      </c>
      <c r="T20" s="326" t="s">
        <v>170</v>
      </c>
      <c r="U20" s="326" t="s">
        <v>2040</v>
      </c>
      <c r="V20" s="332">
        <v>11350</v>
      </c>
      <c r="W20" s="333"/>
    </row>
    <row r="21" spans="1:23" ht="45" customHeight="1" x14ac:dyDescent="0.4">
      <c r="A21" s="323">
        <v>116667</v>
      </c>
      <c r="B21" s="324" t="s">
        <v>3980</v>
      </c>
      <c r="C21" s="325" t="s">
        <v>2066</v>
      </c>
      <c r="D21" s="326" t="s">
        <v>2034</v>
      </c>
      <c r="E21" s="327" t="s">
        <v>316</v>
      </c>
      <c r="F21" s="327"/>
      <c r="G21" s="327" t="s">
        <v>317</v>
      </c>
      <c r="H21" s="325" t="s">
        <v>2057</v>
      </c>
      <c r="I21" s="325" t="s">
        <v>2035</v>
      </c>
      <c r="J21" s="328">
        <v>11</v>
      </c>
      <c r="K21" s="329">
        <v>1161</v>
      </c>
      <c r="L21" s="325" t="s">
        <v>2067</v>
      </c>
      <c r="M21" s="326" t="s">
        <v>2038</v>
      </c>
      <c r="N21" s="326"/>
      <c r="O21" s="330">
        <v>198.06</v>
      </c>
      <c r="P21" s="330">
        <v>3.32</v>
      </c>
      <c r="Q21" s="331">
        <v>1161</v>
      </c>
      <c r="R21" s="330">
        <v>12000</v>
      </c>
      <c r="S21" s="330">
        <v>1400</v>
      </c>
      <c r="T21" s="326" t="s">
        <v>170</v>
      </c>
      <c r="U21" s="326" t="s">
        <v>2040</v>
      </c>
      <c r="V21" s="332">
        <v>11610</v>
      </c>
      <c r="W21" s="333">
        <v>11620</v>
      </c>
    </row>
    <row r="22" spans="1:23" ht="45" customHeight="1" x14ac:dyDescent="0.4">
      <c r="A22" s="323">
        <v>116668</v>
      </c>
      <c r="B22" s="324" t="s">
        <v>3981</v>
      </c>
      <c r="C22" s="325" t="s">
        <v>2068</v>
      </c>
      <c r="D22" s="326" t="s">
        <v>2034</v>
      </c>
      <c r="E22" s="327" t="s">
        <v>320</v>
      </c>
      <c r="F22" s="327"/>
      <c r="G22" s="327" t="s">
        <v>321</v>
      </c>
      <c r="H22" s="325" t="s">
        <v>2069</v>
      </c>
      <c r="I22" s="325" t="s">
        <v>2035</v>
      </c>
      <c r="J22" s="328">
        <v>11</v>
      </c>
      <c r="K22" s="329">
        <v>1162</v>
      </c>
      <c r="L22" s="325" t="s">
        <v>2070</v>
      </c>
      <c r="M22" s="326" t="s">
        <v>2038</v>
      </c>
      <c r="N22" s="326"/>
      <c r="O22" s="330">
        <v>253.05</v>
      </c>
      <c r="P22" s="330">
        <v>3.32</v>
      </c>
      <c r="Q22" s="331">
        <v>1162</v>
      </c>
      <c r="R22" s="330">
        <v>20000</v>
      </c>
      <c r="S22" s="330">
        <v>2300</v>
      </c>
      <c r="T22" s="326" t="s">
        <v>170</v>
      </c>
      <c r="U22" s="326" t="s">
        <v>2040</v>
      </c>
      <c r="V22" s="332"/>
      <c r="W22" s="333"/>
    </row>
    <row r="23" spans="1:23" ht="45" customHeight="1" x14ac:dyDescent="0.4">
      <c r="A23" s="323">
        <v>116672</v>
      </c>
      <c r="B23" s="324" t="s">
        <v>3982</v>
      </c>
      <c r="C23" s="325" t="s">
        <v>2071</v>
      </c>
      <c r="D23" s="326" t="s">
        <v>2034</v>
      </c>
      <c r="E23" s="327" t="s">
        <v>324</v>
      </c>
      <c r="F23" s="327"/>
      <c r="G23" s="327" t="s">
        <v>325</v>
      </c>
      <c r="H23" s="325" t="s">
        <v>2057</v>
      </c>
      <c r="I23" s="325" t="s">
        <v>2035</v>
      </c>
      <c r="J23" s="328">
        <v>11</v>
      </c>
      <c r="K23" s="329">
        <v>1163</v>
      </c>
      <c r="L23" s="325" t="s">
        <v>2072</v>
      </c>
      <c r="M23" s="326" t="s">
        <v>2038</v>
      </c>
      <c r="N23" s="326"/>
      <c r="O23" s="330">
        <v>198.06</v>
      </c>
      <c r="P23" s="330">
        <v>3.32</v>
      </c>
      <c r="Q23" s="331">
        <v>1163</v>
      </c>
      <c r="R23" s="330">
        <v>13000</v>
      </c>
      <c r="S23" s="330">
        <v>1700</v>
      </c>
      <c r="T23" s="326" t="s">
        <v>170</v>
      </c>
      <c r="U23" s="326" t="s">
        <v>2040</v>
      </c>
      <c r="V23" s="332">
        <v>11370</v>
      </c>
      <c r="W23" s="333">
        <v>11610</v>
      </c>
    </row>
    <row r="24" spans="1:23" ht="45" customHeight="1" x14ac:dyDescent="0.4">
      <c r="A24" s="323">
        <v>116922</v>
      </c>
      <c r="B24" s="324" t="s">
        <v>3983</v>
      </c>
      <c r="C24" s="325" t="s">
        <v>2073</v>
      </c>
      <c r="D24" s="326" t="s">
        <v>2045</v>
      </c>
      <c r="E24" s="327" t="s">
        <v>328</v>
      </c>
      <c r="F24" s="327"/>
      <c r="G24" s="327" t="s">
        <v>329</v>
      </c>
      <c r="H24" s="325" t="s">
        <v>2035</v>
      </c>
      <c r="I24" s="325" t="s">
        <v>2074</v>
      </c>
      <c r="J24" s="328">
        <v>14</v>
      </c>
      <c r="K24" s="329">
        <v>1461</v>
      </c>
      <c r="L24" s="325" t="s">
        <v>2075</v>
      </c>
      <c r="M24" s="326" t="s">
        <v>2076</v>
      </c>
      <c r="N24" s="326"/>
      <c r="O24" s="330">
        <v>1236784.6399999999</v>
      </c>
      <c r="P24" s="330">
        <v>106830.96</v>
      </c>
      <c r="Q24" s="331">
        <v>1461</v>
      </c>
      <c r="R24" s="330">
        <v>12</v>
      </c>
      <c r="S24" s="330">
        <v>1</v>
      </c>
      <c r="T24" s="326" t="s">
        <v>170</v>
      </c>
      <c r="U24" s="326" t="s">
        <v>2040</v>
      </c>
      <c r="V24" s="332">
        <v>14920</v>
      </c>
      <c r="W24" s="333">
        <v>14930</v>
      </c>
    </row>
    <row r="25" spans="1:23" ht="45" customHeight="1" x14ac:dyDescent="0.4">
      <c r="A25" s="323">
        <v>116933</v>
      </c>
      <c r="B25" s="324" t="s">
        <v>3984</v>
      </c>
      <c r="C25" s="325" t="s">
        <v>2077</v>
      </c>
      <c r="D25" s="326" t="s">
        <v>2045</v>
      </c>
      <c r="E25" s="327" t="s">
        <v>332</v>
      </c>
      <c r="F25" s="327"/>
      <c r="G25" s="327" t="s">
        <v>333</v>
      </c>
      <c r="H25" s="325" t="s">
        <v>2078</v>
      </c>
      <c r="I25" s="325" t="s">
        <v>2035</v>
      </c>
      <c r="J25" s="328">
        <v>14</v>
      </c>
      <c r="K25" s="329">
        <v>1463</v>
      </c>
      <c r="L25" s="325" t="s">
        <v>2079</v>
      </c>
      <c r="M25" s="326" t="s">
        <v>2076</v>
      </c>
      <c r="N25" s="326"/>
      <c r="O25" s="330">
        <v>592389.91</v>
      </c>
      <c r="P25" s="330">
        <v>53284.84</v>
      </c>
      <c r="Q25" s="331">
        <v>1463</v>
      </c>
      <c r="R25" s="330">
        <v>3</v>
      </c>
      <c r="S25" s="330">
        <v>1</v>
      </c>
      <c r="T25" s="326" t="s">
        <v>170</v>
      </c>
      <c r="U25" s="326" t="s">
        <v>2040</v>
      </c>
      <c r="V25" s="332"/>
      <c r="W25" s="333"/>
    </row>
    <row r="26" spans="1:23" ht="45" customHeight="1" x14ac:dyDescent="0.4">
      <c r="A26" s="323">
        <v>116945</v>
      </c>
      <c r="B26" s="324" t="s">
        <v>3985</v>
      </c>
      <c r="C26" s="325" t="s">
        <v>2080</v>
      </c>
      <c r="D26" s="326" t="s">
        <v>2045</v>
      </c>
      <c r="E26" s="327" t="s">
        <v>337</v>
      </c>
      <c r="F26" s="327" t="s">
        <v>2081</v>
      </c>
      <c r="G26" s="327" t="s">
        <v>338</v>
      </c>
      <c r="H26" s="325" t="s">
        <v>2035</v>
      </c>
      <c r="I26" s="325" t="s">
        <v>2036</v>
      </c>
      <c r="J26" s="328">
        <v>14</v>
      </c>
      <c r="K26" s="329">
        <v>1464</v>
      </c>
      <c r="L26" s="325" t="s">
        <v>2082</v>
      </c>
      <c r="M26" s="326" t="s">
        <v>2039</v>
      </c>
      <c r="N26" s="326"/>
      <c r="O26" s="330">
        <v>22366.77</v>
      </c>
      <c r="P26" s="330">
        <v>15.63</v>
      </c>
      <c r="Q26" s="331">
        <v>1464</v>
      </c>
      <c r="R26" s="330">
        <v>625</v>
      </c>
      <c r="S26" s="330">
        <v>130</v>
      </c>
      <c r="T26" s="326" t="s">
        <v>170</v>
      </c>
      <c r="U26" s="326" t="s">
        <v>2040</v>
      </c>
      <c r="V26" s="332">
        <v>14935</v>
      </c>
      <c r="W26" s="333">
        <v>14950</v>
      </c>
    </row>
    <row r="27" spans="1:23" ht="45" customHeight="1" x14ac:dyDescent="0.4">
      <c r="A27" s="323">
        <v>121111</v>
      </c>
      <c r="B27" s="324" t="s">
        <v>3986</v>
      </c>
      <c r="C27" s="325" t="s">
        <v>2083</v>
      </c>
      <c r="D27" s="326" t="s">
        <v>2084</v>
      </c>
      <c r="E27" s="327" t="s">
        <v>3689</v>
      </c>
      <c r="F27" s="327"/>
      <c r="G27" s="327" t="s">
        <v>341</v>
      </c>
      <c r="H27" s="325" t="s">
        <v>2085</v>
      </c>
      <c r="I27" s="325" t="s">
        <v>2086</v>
      </c>
      <c r="J27" s="328">
        <v>14</v>
      </c>
      <c r="K27" s="329">
        <v>1444</v>
      </c>
      <c r="L27" s="325" t="s">
        <v>2087</v>
      </c>
      <c r="M27" s="326" t="s">
        <v>226</v>
      </c>
      <c r="N27" s="326"/>
      <c r="O27" s="330">
        <v>634</v>
      </c>
      <c r="P27" s="330">
        <v>3.86</v>
      </c>
      <c r="Q27" s="331">
        <v>1444</v>
      </c>
      <c r="R27" s="330">
        <v>190000</v>
      </c>
      <c r="S27" s="330">
        <v>5800</v>
      </c>
      <c r="T27" s="326" t="s">
        <v>170</v>
      </c>
      <c r="U27" s="326" t="s">
        <v>2040</v>
      </c>
      <c r="V27" s="332">
        <v>14165</v>
      </c>
      <c r="W27" s="333" t="s">
        <v>3768</v>
      </c>
    </row>
    <row r="28" spans="1:23" ht="45" customHeight="1" x14ac:dyDescent="0.4">
      <c r="A28" s="323">
        <v>121115</v>
      </c>
      <c r="B28" s="324" t="s">
        <v>3987</v>
      </c>
      <c r="C28" s="325" t="s">
        <v>2088</v>
      </c>
      <c r="D28" s="326" t="s">
        <v>2045</v>
      </c>
      <c r="E28" s="327" t="s">
        <v>3988</v>
      </c>
      <c r="F28" s="327" t="s">
        <v>3989</v>
      </c>
      <c r="G28" s="327" t="s">
        <v>344</v>
      </c>
      <c r="H28" s="325" t="s">
        <v>2085</v>
      </c>
      <c r="I28" s="325" t="s">
        <v>2086</v>
      </c>
      <c r="J28" s="328">
        <v>12</v>
      </c>
      <c r="K28" s="329">
        <v>1211</v>
      </c>
      <c r="L28" s="325" t="s">
        <v>2089</v>
      </c>
      <c r="M28" s="326" t="s">
        <v>2090</v>
      </c>
      <c r="N28" s="326" t="s">
        <v>2091</v>
      </c>
      <c r="O28" s="330">
        <v>461843.14</v>
      </c>
      <c r="P28" s="330">
        <v>4447.16</v>
      </c>
      <c r="Q28" s="331">
        <v>1211</v>
      </c>
      <c r="R28" s="330">
        <v>32</v>
      </c>
      <c r="S28" s="330">
        <v>6</v>
      </c>
      <c r="T28" s="326" t="s">
        <v>170</v>
      </c>
      <c r="U28" s="326" t="s">
        <v>2040</v>
      </c>
      <c r="V28" s="332">
        <v>12110</v>
      </c>
      <c r="W28" s="333">
        <v>12110</v>
      </c>
    </row>
    <row r="29" spans="1:23" ht="45" customHeight="1" x14ac:dyDescent="0.4">
      <c r="A29" s="323">
        <v>121122</v>
      </c>
      <c r="B29" s="324" t="s">
        <v>3990</v>
      </c>
      <c r="C29" s="325" t="s">
        <v>2092</v>
      </c>
      <c r="D29" s="326" t="s">
        <v>2045</v>
      </c>
      <c r="E29" s="327" t="s">
        <v>3991</v>
      </c>
      <c r="F29" s="327" t="s">
        <v>3769</v>
      </c>
      <c r="G29" s="327" t="s">
        <v>347</v>
      </c>
      <c r="H29" s="325" t="s">
        <v>2085</v>
      </c>
      <c r="I29" s="325" t="s">
        <v>2086</v>
      </c>
      <c r="J29" s="328">
        <v>12</v>
      </c>
      <c r="K29" s="329">
        <v>1211</v>
      </c>
      <c r="L29" s="325" t="s">
        <v>2089</v>
      </c>
      <c r="M29" s="326" t="s">
        <v>2090</v>
      </c>
      <c r="N29" s="326" t="s">
        <v>2091</v>
      </c>
      <c r="O29" s="330">
        <v>461843.14</v>
      </c>
      <c r="P29" s="330">
        <v>4447.16</v>
      </c>
      <c r="Q29" s="331">
        <v>1211</v>
      </c>
      <c r="R29" s="330">
        <v>32</v>
      </c>
      <c r="S29" s="330">
        <v>6</v>
      </c>
      <c r="T29" s="326" t="s">
        <v>170</v>
      </c>
      <c r="U29" s="326" t="s">
        <v>2040</v>
      </c>
      <c r="V29" s="332">
        <v>12110</v>
      </c>
      <c r="W29" s="333">
        <v>12110</v>
      </c>
    </row>
    <row r="30" spans="1:23" ht="45" customHeight="1" x14ac:dyDescent="0.4">
      <c r="A30" s="323">
        <v>121124</v>
      </c>
      <c r="B30" s="324" t="s">
        <v>3992</v>
      </c>
      <c r="C30" s="325" t="s">
        <v>2093</v>
      </c>
      <c r="D30" s="326" t="s">
        <v>2084</v>
      </c>
      <c r="E30" s="327" t="s">
        <v>3993</v>
      </c>
      <c r="F30" s="327" t="s">
        <v>2094</v>
      </c>
      <c r="G30" s="327" t="s">
        <v>351</v>
      </c>
      <c r="H30" s="325" t="s">
        <v>2085</v>
      </c>
      <c r="I30" s="325" t="s">
        <v>2086</v>
      </c>
      <c r="J30" s="328">
        <v>14</v>
      </c>
      <c r="K30" s="329">
        <v>1444</v>
      </c>
      <c r="L30" s="325" t="s">
        <v>2087</v>
      </c>
      <c r="M30" s="326" t="s">
        <v>226</v>
      </c>
      <c r="N30" s="326"/>
      <c r="O30" s="330">
        <v>634</v>
      </c>
      <c r="P30" s="330">
        <v>3.86</v>
      </c>
      <c r="Q30" s="331">
        <v>1444</v>
      </c>
      <c r="R30" s="330">
        <v>190000</v>
      </c>
      <c r="S30" s="330">
        <v>5800</v>
      </c>
      <c r="T30" s="326" t="s">
        <v>170</v>
      </c>
      <c r="U30" s="326" t="s">
        <v>2040</v>
      </c>
      <c r="V30" s="332">
        <v>14165</v>
      </c>
      <c r="W30" s="333">
        <v>12517</v>
      </c>
    </row>
    <row r="31" spans="1:23" ht="45" customHeight="1" x14ac:dyDescent="0.4">
      <c r="A31" s="323">
        <v>122111</v>
      </c>
      <c r="B31" s="324" t="s">
        <v>3994</v>
      </c>
      <c r="C31" s="325" t="s">
        <v>2095</v>
      </c>
      <c r="D31" s="326" t="s">
        <v>2045</v>
      </c>
      <c r="E31" s="327" t="s">
        <v>3995</v>
      </c>
      <c r="F31" s="327" t="s">
        <v>3770</v>
      </c>
      <c r="G31" s="327" t="s">
        <v>354</v>
      </c>
      <c r="H31" s="325" t="s">
        <v>2085</v>
      </c>
      <c r="I31" s="325" t="s">
        <v>2086</v>
      </c>
      <c r="J31" s="328">
        <v>12</v>
      </c>
      <c r="K31" s="329">
        <v>1221</v>
      </c>
      <c r="L31" s="325" t="s">
        <v>2096</v>
      </c>
      <c r="M31" s="326" t="s">
        <v>2090</v>
      </c>
      <c r="N31" s="326" t="s">
        <v>2091</v>
      </c>
      <c r="O31" s="330">
        <v>833054.88</v>
      </c>
      <c r="P31" s="330">
        <v>1104.53</v>
      </c>
      <c r="Q31" s="331">
        <v>1221</v>
      </c>
      <c r="R31" s="330">
        <v>6</v>
      </c>
      <c r="S31" s="330">
        <v>2</v>
      </c>
      <c r="T31" s="326" t="s">
        <v>170</v>
      </c>
      <c r="U31" s="326" t="s">
        <v>2040</v>
      </c>
      <c r="V31" s="332">
        <v>12210</v>
      </c>
      <c r="W31" s="333" t="s">
        <v>3771</v>
      </c>
    </row>
    <row r="32" spans="1:23" ht="45" customHeight="1" x14ac:dyDescent="0.4">
      <c r="A32" s="323">
        <v>123335</v>
      </c>
      <c r="B32" s="324" t="s">
        <v>3996</v>
      </c>
      <c r="C32" s="325" t="s">
        <v>2097</v>
      </c>
      <c r="D32" s="326" t="s">
        <v>2045</v>
      </c>
      <c r="E32" s="327" t="s">
        <v>3997</v>
      </c>
      <c r="F32" s="327" t="s">
        <v>3772</v>
      </c>
      <c r="G32" s="327" t="s">
        <v>356</v>
      </c>
      <c r="H32" s="325" t="s">
        <v>2085</v>
      </c>
      <c r="I32" s="325" t="s">
        <v>2086</v>
      </c>
      <c r="J32" s="328">
        <v>12</v>
      </c>
      <c r="K32" s="329">
        <v>1231</v>
      </c>
      <c r="L32" s="325" t="s">
        <v>2098</v>
      </c>
      <c r="M32" s="326" t="s">
        <v>2090</v>
      </c>
      <c r="N32" s="326" t="s">
        <v>2091</v>
      </c>
      <c r="O32" s="330">
        <v>160781.03</v>
      </c>
      <c r="P32" s="330">
        <v>7602.66</v>
      </c>
      <c r="Q32" s="331">
        <v>1231</v>
      </c>
      <c r="R32" s="330">
        <v>28</v>
      </c>
      <c r="S32" s="330">
        <v>3</v>
      </c>
      <c r="T32" s="326" t="s">
        <v>170</v>
      </c>
      <c r="U32" s="326" t="s">
        <v>2040</v>
      </c>
      <c r="V32" s="332" t="s">
        <v>3773</v>
      </c>
      <c r="W32" s="333" t="s">
        <v>3774</v>
      </c>
    </row>
    <row r="33" spans="1:23" ht="45" customHeight="1" x14ac:dyDescent="0.4">
      <c r="A33" s="323">
        <v>124131</v>
      </c>
      <c r="B33" s="324" t="s">
        <v>3998</v>
      </c>
      <c r="C33" s="325" t="s">
        <v>2099</v>
      </c>
      <c r="D33" s="326" t="s">
        <v>2045</v>
      </c>
      <c r="E33" s="327" t="s">
        <v>3999</v>
      </c>
      <c r="F33" s="327" t="s">
        <v>3775</v>
      </c>
      <c r="G33" s="327" t="s">
        <v>359</v>
      </c>
      <c r="H33" s="325" t="s">
        <v>2085</v>
      </c>
      <c r="I33" s="325" t="s">
        <v>2086</v>
      </c>
      <c r="J33" s="328">
        <v>12</v>
      </c>
      <c r="K33" s="329">
        <v>1241</v>
      </c>
      <c r="L33" s="325" t="s">
        <v>2100</v>
      </c>
      <c r="M33" s="326" t="s">
        <v>2101</v>
      </c>
      <c r="N33" s="326"/>
      <c r="O33" s="330">
        <v>6.48</v>
      </c>
      <c r="P33" s="330">
        <v>2.13</v>
      </c>
      <c r="Q33" s="331">
        <v>1241</v>
      </c>
      <c r="R33" s="330">
        <v>1330000</v>
      </c>
      <c r="S33" s="330">
        <v>145000</v>
      </c>
      <c r="T33" s="326" t="s">
        <v>170</v>
      </c>
      <c r="U33" s="326" t="s">
        <v>2040</v>
      </c>
      <c r="V33" s="332">
        <v>12412</v>
      </c>
      <c r="W33" s="333">
        <v>12150</v>
      </c>
    </row>
    <row r="34" spans="1:23" ht="45" customHeight="1" x14ac:dyDescent="0.4">
      <c r="A34" s="323">
        <v>124132</v>
      </c>
      <c r="B34" s="324" t="s">
        <v>4000</v>
      </c>
      <c r="C34" s="325" t="s">
        <v>2102</v>
      </c>
      <c r="D34" s="326" t="s">
        <v>2045</v>
      </c>
      <c r="E34" s="327" t="s">
        <v>4001</v>
      </c>
      <c r="F34" s="327" t="s">
        <v>3776</v>
      </c>
      <c r="G34" s="327" t="s">
        <v>362</v>
      </c>
      <c r="H34" s="325" t="s">
        <v>2085</v>
      </c>
      <c r="I34" s="325" t="s">
        <v>2086</v>
      </c>
      <c r="J34" s="328">
        <v>12</v>
      </c>
      <c r="K34" s="329">
        <v>1244</v>
      </c>
      <c r="L34" s="325" t="s">
        <v>2108</v>
      </c>
      <c r="M34" s="326" t="s">
        <v>2101</v>
      </c>
      <c r="N34" s="326"/>
      <c r="O34" s="330">
        <v>10.96</v>
      </c>
      <c r="P34" s="330">
        <v>2.57</v>
      </c>
      <c r="Q34" s="331">
        <v>1244</v>
      </c>
      <c r="R34" s="330">
        <v>430000</v>
      </c>
      <c r="S34" s="330">
        <v>7800</v>
      </c>
      <c r="T34" s="326" t="s">
        <v>170</v>
      </c>
      <c r="U34" s="326" t="s">
        <v>2040</v>
      </c>
      <c r="V34" s="332"/>
      <c r="W34" s="333"/>
    </row>
    <row r="35" spans="1:23" ht="41.5" customHeight="1" x14ac:dyDescent="0.4">
      <c r="A35" s="323">
        <v>124134</v>
      </c>
      <c r="B35" s="324" t="s">
        <v>4002</v>
      </c>
      <c r="C35" s="325" t="s">
        <v>2103</v>
      </c>
      <c r="D35" s="326" t="s">
        <v>2045</v>
      </c>
      <c r="E35" s="327" t="s">
        <v>4003</v>
      </c>
      <c r="F35" s="327" t="s">
        <v>3777</v>
      </c>
      <c r="G35" s="327" t="s">
        <v>365</v>
      </c>
      <c r="H35" s="325" t="s">
        <v>2085</v>
      </c>
      <c r="I35" s="325" t="s">
        <v>2086</v>
      </c>
      <c r="J35" s="328">
        <v>12</v>
      </c>
      <c r="K35" s="329">
        <v>1243</v>
      </c>
      <c r="L35" s="325" t="s">
        <v>2104</v>
      </c>
      <c r="M35" s="326" t="s">
        <v>2101</v>
      </c>
      <c r="N35" s="326"/>
      <c r="O35" s="330">
        <v>7.84</v>
      </c>
      <c r="P35" s="330">
        <v>1.32</v>
      </c>
      <c r="Q35" s="331">
        <v>1243</v>
      </c>
      <c r="R35" s="330">
        <v>200000</v>
      </c>
      <c r="S35" s="330">
        <v>8400</v>
      </c>
      <c r="T35" s="326" t="s">
        <v>170</v>
      </c>
      <c r="U35" s="326" t="s">
        <v>2040</v>
      </c>
      <c r="V35" s="332">
        <v>12481</v>
      </c>
      <c r="W35" s="333">
        <v>12330</v>
      </c>
    </row>
    <row r="36" spans="1:23" ht="45" customHeight="1" x14ac:dyDescent="0.4">
      <c r="A36" s="323">
        <v>124135</v>
      </c>
      <c r="B36" s="324" t="s">
        <v>4004</v>
      </c>
      <c r="C36" s="325" t="s">
        <v>2105</v>
      </c>
      <c r="D36" s="326" t="s">
        <v>2045</v>
      </c>
      <c r="E36" s="327" t="s">
        <v>4005</v>
      </c>
      <c r="F36" s="327" t="s">
        <v>3778</v>
      </c>
      <c r="G36" s="327" t="s">
        <v>368</v>
      </c>
      <c r="H36" s="325" t="s">
        <v>2085</v>
      </c>
      <c r="I36" s="325" t="s">
        <v>2086</v>
      </c>
      <c r="J36" s="328">
        <v>12</v>
      </c>
      <c r="K36" s="329">
        <v>1241</v>
      </c>
      <c r="L36" s="325" t="s">
        <v>2100</v>
      </c>
      <c r="M36" s="326" t="s">
        <v>2101</v>
      </c>
      <c r="N36" s="326"/>
      <c r="O36" s="330">
        <v>6.48</v>
      </c>
      <c r="P36" s="330">
        <v>2.13</v>
      </c>
      <c r="Q36" s="331">
        <v>1241</v>
      </c>
      <c r="R36" s="330">
        <v>1330000</v>
      </c>
      <c r="S36" s="330">
        <v>145000</v>
      </c>
      <c r="T36" s="326" t="s">
        <v>170</v>
      </c>
      <c r="U36" s="326" t="s">
        <v>2040</v>
      </c>
      <c r="V36" s="332">
        <v>12413</v>
      </c>
      <c r="W36" s="333">
        <v>12150</v>
      </c>
    </row>
    <row r="37" spans="1:23" ht="45" customHeight="1" x14ac:dyDescent="0.4">
      <c r="A37" s="323">
        <v>124137</v>
      </c>
      <c r="B37" s="324" t="s">
        <v>4006</v>
      </c>
      <c r="C37" s="325" t="s">
        <v>2106</v>
      </c>
      <c r="D37" s="326" t="s">
        <v>2045</v>
      </c>
      <c r="E37" s="327" t="s">
        <v>4007</v>
      </c>
      <c r="F37" s="327" t="s">
        <v>3779</v>
      </c>
      <c r="G37" s="327" t="s">
        <v>371</v>
      </c>
      <c r="H37" s="325" t="s">
        <v>2085</v>
      </c>
      <c r="I37" s="325" t="s">
        <v>2086</v>
      </c>
      <c r="J37" s="328">
        <v>12</v>
      </c>
      <c r="K37" s="329">
        <v>1243</v>
      </c>
      <c r="L37" s="325" t="s">
        <v>2104</v>
      </c>
      <c r="M37" s="326" t="s">
        <v>2101</v>
      </c>
      <c r="N37" s="326"/>
      <c r="O37" s="330">
        <v>7.84</v>
      </c>
      <c r="P37" s="330">
        <v>1.32</v>
      </c>
      <c r="Q37" s="331">
        <v>1243</v>
      </c>
      <c r="R37" s="330">
        <v>200000</v>
      </c>
      <c r="S37" s="330">
        <v>8400</v>
      </c>
      <c r="T37" s="326" t="s">
        <v>170</v>
      </c>
      <c r="U37" s="326" t="s">
        <v>2040</v>
      </c>
      <c r="V37" s="332">
        <v>12451</v>
      </c>
      <c r="W37" s="333">
        <v>12330</v>
      </c>
    </row>
    <row r="38" spans="1:23" ht="45" customHeight="1" x14ac:dyDescent="0.4">
      <c r="A38" s="323">
        <v>124138</v>
      </c>
      <c r="B38" s="324" t="s">
        <v>4008</v>
      </c>
      <c r="C38" s="325" t="s">
        <v>2107</v>
      </c>
      <c r="D38" s="326" t="s">
        <v>2045</v>
      </c>
      <c r="E38" s="327" t="s">
        <v>4009</v>
      </c>
      <c r="F38" s="327" t="s">
        <v>3776</v>
      </c>
      <c r="G38" s="327" t="s">
        <v>375</v>
      </c>
      <c r="H38" s="325" t="s">
        <v>2085</v>
      </c>
      <c r="I38" s="325" t="s">
        <v>2086</v>
      </c>
      <c r="J38" s="328">
        <v>12</v>
      </c>
      <c r="K38" s="329">
        <v>1244</v>
      </c>
      <c r="L38" s="325" t="s">
        <v>2108</v>
      </c>
      <c r="M38" s="326" t="s">
        <v>2101</v>
      </c>
      <c r="N38" s="326"/>
      <c r="O38" s="330">
        <v>10.96</v>
      </c>
      <c r="P38" s="330">
        <v>2.57</v>
      </c>
      <c r="Q38" s="331">
        <v>1244</v>
      </c>
      <c r="R38" s="330">
        <v>430000</v>
      </c>
      <c r="S38" s="330">
        <v>7800</v>
      </c>
      <c r="T38" s="326" t="s">
        <v>170</v>
      </c>
      <c r="U38" s="326" t="s">
        <v>2040</v>
      </c>
      <c r="V38" s="332"/>
      <c r="W38" s="333">
        <v>12615</v>
      </c>
    </row>
    <row r="39" spans="1:23" ht="45" customHeight="1" x14ac:dyDescent="0.4">
      <c r="A39" s="323">
        <v>124139</v>
      </c>
      <c r="B39" s="324" t="s">
        <v>4010</v>
      </c>
      <c r="C39" s="325" t="s">
        <v>2109</v>
      </c>
      <c r="D39" s="326" t="s">
        <v>2045</v>
      </c>
      <c r="E39" s="327" t="s">
        <v>378</v>
      </c>
      <c r="F39" s="327" t="s">
        <v>3780</v>
      </c>
      <c r="G39" s="327" t="s">
        <v>379</v>
      </c>
      <c r="H39" s="325" t="s">
        <v>2085</v>
      </c>
      <c r="I39" s="325" t="s">
        <v>2086</v>
      </c>
      <c r="J39" s="328">
        <v>12</v>
      </c>
      <c r="K39" s="329">
        <v>1244</v>
      </c>
      <c r="L39" s="325" t="s">
        <v>2108</v>
      </c>
      <c r="M39" s="326" t="s">
        <v>2101</v>
      </c>
      <c r="N39" s="326"/>
      <c r="O39" s="330">
        <v>10.96</v>
      </c>
      <c r="P39" s="330">
        <v>2.57</v>
      </c>
      <c r="Q39" s="331">
        <v>1244</v>
      </c>
      <c r="R39" s="330">
        <v>430000</v>
      </c>
      <c r="S39" s="330">
        <v>7800</v>
      </c>
      <c r="T39" s="326" t="s">
        <v>170</v>
      </c>
      <c r="U39" s="326" t="s">
        <v>2040</v>
      </c>
      <c r="V39" s="332" t="s">
        <v>3781</v>
      </c>
      <c r="W39" s="333">
        <v>12615</v>
      </c>
    </row>
    <row r="40" spans="1:23" ht="45" customHeight="1" x14ac:dyDescent="0.4">
      <c r="A40" s="335">
        <v>124140</v>
      </c>
      <c r="B40" s="324" t="s">
        <v>4011</v>
      </c>
      <c r="C40" s="325" t="s">
        <v>3782</v>
      </c>
      <c r="D40" s="326" t="s">
        <v>2045</v>
      </c>
      <c r="E40" s="327" t="s">
        <v>4012</v>
      </c>
      <c r="F40" s="327" t="s">
        <v>3776</v>
      </c>
      <c r="G40" s="327" t="s">
        <v>383</v>
      </c>
      <c r="H40" s="325" t="e">
        <v>#N/A</v>
      </c>
      <c r="I40" s="325" t="e">
        <v>#N/A</v>
      </c>
      <c r="J40" s="326">
        <v>12</v>
      </c>
      <c r="K40" s="329">
        <v>1244</v>
      </c>
      <c r="L40" s="325" t="s">
        <v>2108</v>
      </c>
      <c r="M40" s="326" t="s">
        <v>2101</v>
      </c>
      <c r="N40" s="326"/>
      <c r="O40" s="330">
        <v>10.96</v>
      </c>
      <c r="P40" s="330">
        <v>2.57</v>
      </c>
      <c r="Q40" s="331">
        <v>1244</v>
      </c>
      <c r="R40" s="330">
        <v>430000</v>
      </c>
      <c r="S40" s="330">
        <v>7800</v>
      </c>
      <c r="T40" s="326" t="s">
        <v>170</v>
      </c>
      <c r="U40" s="326" t="s">
        <v>2040</v>
      </c>
      <c r="V40" s="332"/>
      <c r="W40" s="333"/>
    </row>
    <row r="41" spans="1:23" ht="45" customHeight="1" x14ac:dyDescent="0.4">
      <c r="A41" s="323">
        <v>124231</v>
      </c>
      <c r="B41" s="324" t="s">
        <v>4013</v>
      </c>
      <c r="C41" s="325" t="s">
        <v>2110</v>
      </c>
      <c r="D41" s="326" t="s">
        <v>2045</v>
      </c>
      <c r="E41" s="327" t="s">
        <v>4014</v>
      </c>
      <c r="F41" s="327" t="s">
        <v>3783</v>
      </c>
      <c r="G41" s="327" t="s">
        <v>383</v>
      </c>
      <c r="H41" s="325" t="e">
        <v>#N/A</v>
      </c>
      <c r="I41" s="325" t="e">
        <v>#N/A</v>
      </c>
      <c r="J41" s="328">
        <v>12</v>
      </c>
      <c r="K41" s="329">
        <v>1241</v>
      </c>
      <c r="L41" s="325" t="s">
        <v>2100</v>
      </c>
      <c r="M41" s="326" t="s">
        <v>2101</v>
      </c>
      <c r="N41" s="326"/>
      <c r="O41" s="330">
        <v>6.48</v>
      </c>
      <c r="P41" s="330">
        <v>2.13</v>
      </c>
      <c r="Q41" s="331">
        <v>1241</v>
      </c>
      <c r="R41" s="330">
        <v>1330000</v>
      </c>
      <c r="S41" s="330">
        <v>145000</v>
      </c>
      <c r="T41" s="326" t="s">
        <v>170</v>
      </c>
      <c r="U41" s="326" t="s">
        <v>2040</v>
      </c>
      <c r="V41" s="332">
        <v>12410</v>
      </c>
      <c r="W41" s="333"/>
    </row>
    <row r="42" spans="1:23" ht="45" customHeight="1" x14ac:dyDescent="0.4">
      <c r="A42" s="323">
        <v>124234</v>
      </c>
      <c r="B42" s="324" t="s">
        <v>4015</v>
      </c>
      <c r="C42" s="325" t="s">
        <v>2111</v>
      </c>
      <c r="D42" s="326" t="s">
        <v>2045</v>
      </c>
      <c r="E42" s="327" t="s">
        <v>4016</v>
      </c>
      <c r="F42" s="327" t="s">
        <v>3784</v>
      </c>
      <c r="G42" s="327" t="s">
        <v>383</v>
      </c>
      <c r="H42" s="325" t="e">
        <v>#N/A</v>
      </c>
      <c r="I42" s="325" t="e">
        <v>#N/A</v>
      </c>
      <c r="J42" s="328">
        <v>12</v>
      </c>
      <c r="K42" s="329">
        <v>1243</v>
      </c>
      <c r="L42" s="325" t="s">
        <v>2104</v>
      </c>
      <c r="M42" s="326" t="s">
        <v>2101</v>
      </c>
      <c r="N42" s="326"/>
      <c r="O42" s="330">
        <v>7.84</v>
      </c>
      <c r="P42" s="330">
        <v>1.32</v>
      </c>
      <c r="Q42" s="331">
        <v>1243</v>
      </c>
      <c r="R42" s="330">
        <v>200000</v>
      </c>
      <c r="S42" s="330">
        <v>8400</v>
      </c>
      <c r="T42" s="326" t="s">
        <v>170</v>
      </c>
      <c r="U42" s="326" t="s">
        <v>2040</v>
      </c>
      <c r="V42" s="332">
        <v>12454</v>
      </c>
      <c r="W42" s="333">
        <v>12330</v>
      </c>
    </row>
    <row r="43" spans="1:23" ht="45" customHeight="1" x14ac:dyDescent="0.4">
      <c r="A43" s="323">
        <v>124235</v>
      </c>
      <c r="B43" s="324" t="s">
        <v>4017</v>
      </c>
      <c r="C43" s="325" t="s">
        <v>2112</v>
      </c>
      <c r="D43" s="326" t="s">
        <v>2045</v>
      </c>
      <c r="E43" s="327" t="s">
        <v>4018</v>
      </c>
      <c r="F43" s="327" t="s">
        <v>3783</v>
      </c>
      <c r="G43" s="327" t="s">
        <v>383</v>
      </c>
      <c r="H43" s="325" t="e">
        <v>#N/A</v>
      </c>
      <c r="I43" s="325" t="e">
        <v>#N/A</v>
      </c>
      <c r="J43" s="328">
        <v>12</v>
      </c>
      <c r="K43" s="329">
        <v>1241</v>
      </c>
      <c r="L43" s="325" t="s">
        <v>2100</v>
      </c>
      <c r="M43" s="326" t="s">
        <v>2101</v>
      </c>
      <c r="N43" s="326"/>
      <c r="O43" s="330">
        <v>6.48</v>
      </c>
      <c r="P43" s="330">
        <v>2.13</v>
      </c>
      <c r="Q43" s="331">
        <v>1241</v>
      </c>
      <c r="R43" s="330">
        <v>1330000</v>
      </c>
      <c r="S43" s="330">
        <v>145000</v>
      </c>
      <c r="T43" s="326" t="s">
        <v>170</v>
      </c>
      <c r="U43" s="326" t="s">
        <v>2040</v>
      </c>
      <c r="V43" s="332">
        <v>12411</v>
      </c>
      <c r="W43" s="333"/>
    </row>
    <row r="44" spans="1:23" ht="45" customHeight="1" x14ac:dyDescent="0.4">
      <c r="A44" s="323">
        <v>124237</v>
      </c>
      <c r="B44" s="324" t="s">
        <v>4019</v>
      </c>
      <c r="C44" s="325" t="s">
        <v>2113</v>
      </c>
      <c r="D44" s="326" t="s">
        <v>2045</v>
      </c>
      <c r="E44" s="327" t="s">
        <v>4020</v>
      </c>
      <c r="F44" s="327" t="s">
        <v>3784</v>
      </c>
      <c r="G44" s="327" t="s">
        <v>383</v>
      </c>
      <c r="H44" s="325" t="e">
        <v>#N/A</v>
      </c>
      <c r="I44" s="325" t="e">
        <v>#N/A</v>
      </c>
      <c r="J44" s="328">
        <v>12</v>
      </c>
      <c r="K44" s="329">
        <v>1243</v>
      </c>
      <c r="L44" s="325" t="s">
        <v>2104</v>
      </c>
      <c r="M44" s="326" t="s">
        <v>2101</v>
      </c>
      <c r="N44" s="326"/>
      <c r="O44" s="330">
        <v>7.84</v>
      </c>
      <c r="P44" s="330">
        <v>1.32</v>
      </c>
      <c r="Q44" s="331">
        <v>1243</v>
      </c>
      <c r="R44" s="330">
        <v>200000</v>
      </c>
      <c r="S44" s="330">
        <v>8400</v>
      </c>
      <c r="T44" s="326" t="s">
        <v>170</v>
      </c>
      <c r="U44" s="326" t="s">
        <v>2040</v>
      </c>
      <c r="V44" s="332">
        <v>12450</v>
      </c>
      <c r="W44" s="333">
        <v>12330</v>
      </c>
    </row>
    <row r="45" spans="1:23" ht="45" customHeight="1" x14ac:dyDescent="0.4">
      <c r="A45" s="323">
        <v>124238</v>
      </c>
      <c r="B45" s="324" t="s">
        <v>4021</v>
      </c>
      <c r="C45" s="325" t="s">
        <v>2114</v>
      </c>
      <c r="D45" s="326" t="s">
        <v>2045</v>
      </c>
      <c r="E45" s="327" t="s">
        <v>4022</v>
      </c>
      <c r="F45" s="327" t="s">
        <v>3776</v>
      </c>
      <c r="G45" s="327" t="s">
        <v>383</v>
      </c>
      <c r="H45" s="325" t="e">
        <v>#N/A</v>
      </c>
      <c r="I45" s="325" t="e">
        <v>#N/A</v>
      </c>
      <c r="J45" s="328">
        <v>12</v>
      </c>
      <c r="K45" s="329">
        <v>1244</v>
      </c>
      <c r="L45" s="325" t="s">
        <v>2108</v>
      </c>
      <c r="M45" s="326" t="s">
        <v>2101</v>
      </c>
      <c r="N45" s="326"/>
      <c r="O45" s="330">
        <v>10.96</v>
      </c>
      <c r="P45" s="330">
        <v>2.57</v>
      </c>
      <c r="Q45" s="331">
        <v>1244</v>
      </c>
      <c r="R45" s="330">
        <v>430000</v>
      </c>
      <c r="S45" s="330">
        <v>7800</v>
      </c>
      <c r="T45" s="326" t="s">
        <v>170</v>
      </c>
      <c r="U45" s="326" t="s">
        <v>2040</v>
      </c>
      <c r="V45" s="332"/>
      <c r="W45" s="333">
        <v>12615</v>
      </c>
    </row>
    <row r="46" spans="1:23" ht="45" customHeight="1" x14ac:dyDescent="0.4">
      <c r="A46" s="323">
        <v>124239</v>
      </c>
      <c r="B46" s="324" t="s">
        <v>4023</v>
      </c>
      <c r="C46" s="325" t="s">
        <v>2115</v>
      </c>
      <c r="D46" s="326" t="s">
        <v>2045</v>
      </c>
      <c r="E46" s="327" t="s">
        <v>4024</v>
      </c>
      <c r="F46" s="327" t="s">
        <v>3776</v>
      </c>
      <c r="G46" s="327" t="s">
        <v>383</v>
      </c>
      <c r="H46" s="325" t="e">
        <v>#N/A</v>
      </c>
      <c r="I46" s="325" t="e">
        <v>#N/A</v>
      </c>
      <c r="J46" s="328">
        <v>12</v>
      </c>
      <c r="K46" s="329">
        <v>1244</v>
      </c>
      <c r="L46" s="325" t="s">
        <v>2108</v>
      </c>
      <c r="M46" s="326" t="s">
        <v>2101</v>
      </c>
      <c r="N46" s="326"/>
      <c r="O46" s="330">
        <v>10.96</v>
      </c>
      <c r="P46" s="330">
        <v>2.57</v>
      </c>
      <c r="Q46" s="331">
        <v>1244</v>
      </c>
      <c r="R46" s="330">
        <v>430000</v>
      </c>
      <c r="S46" s="330">
        <v>7800</v>
      </c>
      <c r="T46" s="326" t="s">
        <v>170</v>
      </c>
      <c r="U46" s="326" t="s">
        <v>2040</v>
      </c>
      <c r="V46" s="332" t="s">
        <v>3785</v>
      </c>
      <c r="W46" s="333">
        <v>12615</v>
      </c>
    </row>
    <row r="47" spans="1:23" ht="45" customHeight="1" x14ac:dyDescent="0.4">
      <c r="A47" s="323">
        <v>124240</v>
      </c>
      <c r="B47" s="324" t="s">
        <v>4025</v>
      </c>
      <c r="C47" s="325" t="s">
        <v>3786</v>
      </c>
      <c r="D47" s="326" t="s">
        <v>2045</v>
      </c>
      <c r="E47" s="327" t="s">
        <v>4026</v>
      </c>
      <c r="F47" s="327" t="s">
        <v>3776</v>
      </c>
      <c r="G47" s="327" t="s">
        <v>383</v>
      </c>
      <c r="H47" s="325" t="e">
        <v>#N/A</v>
      </c>
      <c r="I47" s="325" t="e">
        <v>#N/A</v>
      </c>
      <c r="J47" s="328">
        <v>12</v>
      </c>
      <c r="K47" s="329">
        <v>1244</v>
      </c>
      <c r="L47" s="325" t="s">
        <v>2108</v>
      </c>
      <c r="M47" s="326" t="s">
        <v>2101</v>
      </c>
      <c r="N47" s="326"/>
      <c r="O47" s="330">
        <v>10.96</v>
      </c>
      <c r="P47" s="330">
        <v>2.57</v>
      </c>
      <c r="Q47" s="331">
        <v>1244</v>
      </c>
      <c r="R47" s="330">
        <v>430000</v>
      </c>
      <c r="S47" s="330">
        <v>7800</v>
      </c>
      <c r="T47" s="326" t="s">
        <v>170</v>
      </c>
      <c r="U47" s="326" t="s">
        <v>2040</v>
      </c>
      <c r="V47" s="332"/>
      <c r="W47" s="333"/>
    </row>
    <row r="48" spans="1:23" ht="45" customHeight="1" x14ac:dyDescent="0.4">
      <c r="A48" s="323">
        <v>124340</v>
      </c>
      <c r="B48" s="324" t="s">
        <v>4027</v>
      </c>
      <c r="C48" s="325" t="s">
        <v>2116</v>
      </c>
      <c r="D48" s="326" t="s">
        <v>2045</v>
      </c>
      <c r="E48" s="327" t="s">
        <v>4028</v>
      </c>
      <c r="F48" s="327" t="s">
        <v>3779</v>
      </c>
      <c r="G48" s="327" t="s">
        <v>393</v>
      </c>
      <c r="H48" s="325" t="s">
        <v>2085</v>
      </c>
      <c r="I48" s="325" t="s">
        <v>2086</v>
      </c>
      <c r="J48" s="328">
        <v>12</v>
      </c>
      <c r="K48" s="329">
        <v>1243</v>
      </c>
      <c r="L48" s="325" t="s">
        <v>2104</v>
      </c>
      <c r="M48" s="326" t="s">
        <v>2101</v>
      </c>
      <c r="N48" s="326"/>
      <c r="O48" s="330">
        <v>7.84</v>
      </c>
      <c r="P48" s="330">
        <v>1.32</v>
      </c>
      <c r="Q48" s="331">
        <v>1243</v>
      </c>
      <c r="R48" s="330">
        <v>200000</v>
      </c>
      <c r="S48" s="330">
        <v>8400</v>
      </c>
      <c r="T48" s="326" t="s">
        <v>170</v>
      </c>
      <c r="U48" s="326" t="s">
        <v>2040</v>
      </c>
      <c r="V48" s="332">
        <v>12453</v>
      </c>
      <c r="W48" s="333">
        <v>12340</v>
      </c>
    </row>
    <row r="49" spans="1:23" ht="45" customHeight="1" x14ac:dyDescent="0.4">
      <c r="A49" s="323">
        <v>124341</v>
      </c>
      <c r="B49" s="324" t="s">
        <v>4029</v>
      </c>
      <c r="C49" s="325" t="s">
        <v>2117</v>
      </c>
      <c r="D49" s="326" t="s">
        <v>2045</v>
      </c>
      <c r="E49" s="327" t="s">
        <v>4030</v>
      </c>
      <c r="F49" s="327" t="s">
        <v>3779</v>
      </c>
      <c r="G49" s="327" t="s">
        <v>396</v>
      </c>
      <c r="H49" s="325" t="s">
        <v>2085</v>
      </c>
      <c r="I49" s="325" t="s">
        <v>2086</v>
      </c>
      <c r="J49" s="328">
        <v>12</v>
      </c>
      <c r="K49" s="329">
        <v>1243</v>
      </c>
      <c r="L49" s="325" t="s">
        <v>2104</v>
      </c>
      <c r="M49" s="326" t="s">
        <v>2101</v>
      </c>
      <c r="N49" s="326"/>
      <c r="O49" s="330">
        <v>7.84</v>
      </c>
      <c r="P49" s="330">
        <v>1.32</v>
      </c>
      <c r="Q49" s="331">
        <v>1243</v>
      </c>
      <c r="R49" s="330">
        <v>200000</v>
      </c>
      <c r="S49" s="330">
        <v>8400</v>
      </c>
      <c r="T49" s="326" t="s">
        <v>170</v>
      </c>
      <c r="U49" s="326" t="s">
        <v>2040</v>
      </c>
      <c r="V49" s="332">
        <v>12455</v>
      </c>
      <c r="W49" s="333">
        <v>12350</v>
      </c>
    </row>
    <row r="50" spans="1:23" ht="45" customHeight="1" x14ac:dyDescent="0.4">
      <c r="A50" s="323">
        <v>124342</v>
      </c>
      <c r="B50" s="324" t="s">
        <v>4031</v>
      </c>
      <c r="C50" s="325" t="s">
        <v>2118</v>
      </c>
      <c r="D50" s="326" t="s">
        <v>2045</v>
      </c>
      <c r="E50" s="327" t="s">
        <v>4032</v>
      </c>
      <c r="F50" s="327" t="s">
        <v>3779</v>
      </c>
      <c r="G50" s="327" t="s">
        <v>399</v>
      </c>
      <c r="H50" s="325" t="s">
        <v>2085</v>
      </c>
      <c r="I50" s="325" t="s">
        <v>2086</v>
      </c>
      <c r="J50" s="328">
        <v>12</v>
      </c>
      <c r="K50" s="329">
        <v>1243</v>
      </c>
      <c r="L50" s="325" t="s">
        <v>2104</v>
      </c>
      <c r="M50" s="326" t="s">
        <v>2101</v>
      </c>
      <c r="N50" s="326"/>
      <c r="O50" s="330">
        <v>7.84</v>
      </c>
      <c r="P50" s="330">
        <v>1.32</v>
      </c>
      <c r="Q50" s="331">
        <v>1243</v>
      </c>
      <c r="R50" s="330">
        <v>200000</v>
      </c>
      <c r="S50" s="330">
        <v>8400</v>
      </c>
      <c r="T50" s="326" t="s">
        <v>170</v>
      </c>
      <c r="U50" s="326" t="s">
        <v>2040</v>
      </c>
      <c r="V50" s="332">
        <v>12491</v>
      </c>
      <c r="W50" s="333">
        <v>12330</v>
      </c>
    </row>
    <row r="51" spans="1:23" ht="45" customHeight="1" x14ac:dyDescent="0.4">
      <c r="A51" s="323">
        <v>124440</v>
      </c>
      <c r="B51" s="324" t="s">
        <v>4033</v>
      </c>
      <c r="C51" s="325" t="s">
        <v>2119</v>
      </c>
      <c r="D51" s="326" t="s">
        <v>2045</v>
      </c>
      <c r="E51" s="327" t="s">
        <v>4034</v>
      </c>
      <c r="F51" s="327" t="s">
        <v>3784</v>
      </c>
      <c r="G51" s="327" t="s">
        <v>383</v>
      </c>
      <c r="H51" s="325" t="e">
        <v>#N/A</v>
      </c>
      <c r="I51" s="325" t="e">
        <v>#N/A</v>
      </c>
      <c r="J51" s="328">
        <v>12</v>
      </c>
      <c r="K51" s="329">
        <v>1243</v>
      </c>
      <c r="L51" s="325" t="s">
        <v>2104</v>
      </c>
      <c r="M51" s="326" t="s">
        <v>2101</v>
      </c>
      <c r="N51" s="326"/>
      <c r="O51" s="330">
        <v>7.84</v>
      </c>
      <c r="P51" s="330">
        <v>1.32</v>
      </c>
      <c r="Q51" s="331">
        <v>1243</v>
      </c>
      <c r="R51" s="330">
        <v>200000</v>
      </c>
      <c r="S51" s="330">
        <v>8400</v>
      </c>
      <c r="T51" s="326" t="s">
        <v>170</v>
      </c>
      <c r="U51" s="326" t="s">
        <v>2040</v>
      </c>
      <c r="V51" s="332">
        <v>12452</v>
      </c>
      <c r="W51" s="333">
        <v>12340</v>
      </c>
    </row>
    <row r="52" spans="1:23" ht="45" customHeight="1" x14ac:dyDescent="0.4">
      <c r="A52" s="323">
        <v>124441</v>
      </c>
      <c r="B52" s="324" t="s">
        <v>4035</v>
      </c>
      <c r="C52" s="325" t="s">
        <v>2120</v>
      </c>
      <c r="D52" s="326" t="s">
        <v>2045</v>
      </c>
      <c r="E52" s="327" t="s">
        <v>4036</v>
      </c>
      <c r="F52" s="327" t="s">
        <v>3784</v>
      </c>
      <c r="G52" s="327" t="s">
        <v>383</v>
      </c>
      <c r="H52" s="325" t="e">
        <v>#N/A</v>
      </c>
      <c r="I52" s="325" t="e">
        <v>#N/A</v>
      </c>
      <c r="J52" s="328">
        <v>12</v>
      </c>
      <c r="K52" s="329">
        <v>1243</v>
      </c>
      <c r="L52" s="325" t="s">
        <v>2104</v>
      </c>
      <c r="M52" s="326" t="s">
        <v>2101</v>
      </c>
      <c r="N52" s="326"/>
      <c r="O52" s="330">
        <v>7.84</v>
      </c>
      <c r="P52" s="330">
        <v>1.32</v>
      </c>
      <c r="Q52" s="331">
        <v>1243</v>
      </c>
      <c r="R52" s="330">
        <v>200000</v>
      </c>
      <c r="S52" s="330">
        <v>8400</v>
      </c>
      <c r="T52" s="326" t="s">
        <v>170</v>
      </c>
      <c r="U52" s="326" t="s">
        <v>2040</v>
      </c>
      <c r="V52" s="332">
        <v>12454</v>
      </c>
      <c r="W52" s="333">
        <v>12350</v>
      </c>
    </row>
    <row r="53" spans="1:23" ht="45" customHeight="1" x14ac:dyDescent="0.4">
      <c r="A53" s="323">
        <v>124442</v>
      </c>
      <c r="B53" s="324" t="s">
        <v>4037</v>
      </c>
      <c r="C53" s="325" t="s">
        <v>2121</v>
      </c>
      <c r="D53" s="326" t="s">
        <v>2045</v>
      </c>
      <c r="E53" s="327" t="s">
        <v>4038</v>
      </c>
      <c r="F53" s="327" t="s">
        <v>3784</v>
      </c>
      <c r="G53" s="327" t="s">
        <v>383</v>
      </c>
      <c r="H53" s="325" t="e">
        <v>#N/A</v>
      </c>
      <c r="I53" s="325" t="e">
        <v>#N/A</v>
      </c>
      <c r="J53" s="328">
        <v>12</v>
      </c>
      <c r="K53" s="329">
        <v>1243</v>
      </c>
      <c r="L53" s="325" t="s">
        <v>2104</v>
      </c>
      <c r="M53" s="326" t="s">
        <v>2101</v>
      </c>
      <c r="N53" s="326"/>
      <c r="O53" s="330">
        <v>7.84</v>
      </c>
      <c r="P53" s="330">
        <v>1.32</v>
      </c>
      <c r="Q53" s="331">
        <v>1243</v>
      </c>
      <c r="R53" s="330">
        <v>200000</v>
      </c>
      <c r="S53" s="330">
        <v>8400</v>
      </c>
      <c r="T53" s="326" t="s">
        <v>170</v>
      </c>
      <c r="U53" s="326" t="s">
        <v>2040</v>
      </c>
      <c r="V53" s="332">
        <v>12490</v>
      </c>
      <c r="W53" s="333">
        <v>12330</v>
      </c>
    </row>
    <row r="54" spans="1:23" ht="45" customHeight="1" x14ac:dyDescent="0.4">
      <c r="A54" s="323">
        <v>125210</v>
      </c>
      <c r="B54" s="324" t="s">
        <v>4039</v>
      </c>
      <c r="C54" s="325" t="s">
        <v>2122</v>
      </c>
      <c r="D54" s="326" t="s">
        <v>2034</v>
      </c>
      <c r="E54" s="327" t="s">
        <v>3690</v>
      </c>
      <c r="F54" s="327" t="s">
        <v>3787</v>
      </c>
      <c r="G54" s="327" t="s">
        <v>407</v>
      </c>
      <c r="H54" s="325" t="s">
        <v>2085</v>
      </c>
      <c r="I54" s="325" t="s">
        <v>2086</v>
      </c>
      <c r="J54" s="328">
        <v>12</v>
      </c>
      <c r="K54" s="329">
        <v>1252</v>
      </c>
      <c r="L54" s="325" t="s">
        <v>2123</v>
      </c>
      <c r="M54" s="326" t="s">
        <v>2039</v>
      </c>
      <c r="N54" s="326"/>
      <c r="O54" s="330">
        <v>176.77</v>
      </c>
      <c r="P54" s="330">
        <v>12.57</v>
      </c>
      <c r="Q54" s="331">
        <v>1252</v>
      </c>
      <c r="R54" s="330">
        <v>150000</v>
      </c>
      <c r="S54" s="330">
        <v>4600</v>
      </c>
      <c r="T54" s="326" t="s">
        <v>170</v>
      </c>
      <c r="U54" s="326" t="s">
        <v>2040</v>
      </c>
      <c r="V54" s="332">
        <v>12521</v>
      </c>
      <c r="W54" s="333">
        <v>12521</v>
      </c>
    </row>
    <row r="55" spans="1:23" ht="45" customHeight="1" x14ac:dyDescent="0.4">
      <c r="A55" s="323">
        <v>125212</v>
      </c>
      <c r="B55" s="324" t="s">
        <v>4040</v>
      </c>
      <c r="C55" s="325" t="s">
        <v>2124</v>
      </c>
      <c r="D55" s="326" t="s">
        <v>2034</v>
      </c>
      <c r="E55" s="327" t="s">
        <v>3691</v>
      </c>
      <c r="F55" s="327" t="s">
        <v>3787</v>
      </c>
      <c r="G55" s="327" t="s">
        <v>383</v>
      </c>
      <c r="H55" s="325" t="e">
        <v>#N/A</v>
      </c>
      <c r="I55" s="325" t="e">
        <v>#N/A</v>
      </c>
      <c r="J55" s="328">
        <v>12</v>
      </c>
      <c r="K55" s="329">
        <v>1252</v>
      </c>
      <c r="L55" s="325" t="s">
        <v>2123</v>
      </c>
      <c r="M55" s="326" t="s">
        <v>2039</v>
      </c>
      <c r="N55" s="326"/>
      <c r="O55" s="330">
        <v>176.77</v>
      </c>
      <c r="P55" s="330">
        <v>12.57</v>
      </c>
      <c r="Q55" s="331">
        <v>1252</v>
      </c>
      <c r="R55" s="330">
        <v>150000</v>
      </c>
      <c r="S55" s="330">
        <v>4600</v>
      </c>
      <c r="T55" s="326" t="s">
        <v>170</v>
      </c>
      <c r="U55" s="326" t="s">
        <v>2040</v>
      </c>
      <c r="V55" s="332">
        <v>12522</v>
      </c>
      <c r="W55" s="333">
        <v>12521</v>
      </c>
    </row>
    <row r="56" spans="1:23" ht="45" customHeight="1" x14ac:dyDescent="0.4">
      <c r="A56" s="323">
        <v>125553</v>
      </c>
      <c r="B56" s="324" t="s">
        <v>4041</v>
      </c>
      <c r="C56" s="325" t="s">
        <v>2125</v>
      </c>
      <c r="D56" s="326" t="s">
        <v>2034</v>
      </c>
      <c r="E56" s="327" t="s">
        <v>3692</v>
      </c>
      <c r="F56" s="327" t="s">
        <v>3787</v>
      </c>
      <c r="G56" s="327" t="s">
        <v>383</v>
      </c>
      <c r="H56" s="325" t="e">
        <v>#N/A</v>
      </c>
      <c r="I56" s="325" t="e">
        <v>#N/A</v>
      </c>
      <c r="J56" s="328">
        <v>12</v>
      </c>
      <c r="K56" s="329">
        <v>1251</v>
      </c>
      <c r="L56" s="325" t="s">
        <v>2126</v>
      </c>
      <c r="M56" s="326" t="s">
        <v>2039</v>
      </c>
      <c r="N56" s="326"/>
      <c r="O56" s="330">
        <v>517.28</v>
      </c>
      <c r="P56" s="330">
        <v>12.57</v>
      </c>
      <c r="Q56" s="331">
        <v>1251</v>
      </c>
      <c r="R56" s="330">
        <v>150000</v>
      </c>
      <c r="S56" s="330">
        <v>4600</v>
      </c>
      <c r="T56" s="326" t="s">
        <v>170</v>
      </c>
      <c r="U56" s="326" t="s">
        <v>2040</v>
      </c>
      <c r="V56" s="332">
        <v>12520</v>
      </c>
      <c r="W56" s="333">
        <v>12510</v>
      </c>
    </row>
    <row r="57" spans="1:23" ht="45" customHeight="1" x14ac:dyDescent="0.4">
      <c r="A57" s="323">
        <v>125554</v>
      </c>
      <c r="B57" s="324" t="s">
        <v>4042</v>
      </c>
      <c r="C57" s="325" t="s">
        <v>2127</v>
      </c>
      <c r="D57" s="326" t="s">
        <v>2034</v>
      </c>
      <c r="E57" s="327" t="s">
        <v>3693</v>
      </c>
      <c r="F57" s="327" t="s">
        <v>3788</v>
      </c>
      <c r="G57" s="327" t="s">
        <v>414</v>
      </c>
      <c r="H57" s="325" t="s">
        <v>2085</v>
      </c>
      <c r="I57" s="325" t="s">
        <v>2086</v>
      </c>
      <c r="J57" s="328">
        <v>12</v>
      </c>
      <c r="K57" s="329">
        <v>1251</v>
      </c>
      <c r="L57" s="325" t="s">
        <v>2126</v>
      </c>
      <c r="M57" s="326" t="s">
        <v>2039</v>
      </c>
      <c r="N57" s="326"/>
      <c r="O57" s="330">
        <v>517.28</v>
      </c>
      <c r="P57" s="330">
        <v>12.57</v>
      </c>
      <c r="Q57" s="331">
        <v>1251</v>
      </c>
      <c r="R57" s="330">
        <v>150000</v>
      </c>
      <c r="S57" s="330">
        <v>4600</v>
      </c>
      <c r="T57" s="326" t="s">
        <v>170</v>
      </c>
      <c r="U57" s="326" t="s">
        <v>2040</v>
      </c>
      <c r="V57" s="332">
        <v>12510</v>
      </c>
      <c r="W57" s="333">
        <v>12510</v>
      </c>
    </row>
    <row r="58" spans="1:23" ht="45" customHeight="1" x14ac:dyDescent="0.4">
      <c r="A58" s="323">
        <v>125977</v>
      </c>
      <c r="B58" s="324" t="s">
        <v>4043</v>
      </c>
      <c r="C58" s="325" t="s">
        <v>2128</v>
      </c>
      <c r="D58" s="326" t="s">
        <v>2045</v>
      </c>
      <c r="E58" s="327" t="s">
        <v>3694</v>
      </c>
      <c r="F58" s="327" t="s">
        <v>3789</v>
      </c>
      <c r="G58" s="327" t="s">
        <v>416</v>
      </c>
      <c r="H58" s="325" t="s">
        <v>2085</v>
      </c>
      <c r="I58" s="325" t="s">
        <v>2086</v>
      </c>
      <c r="J58" s="328">
        <v>12</v>
      </c>
      <c r="K58" s="329">
        <v>1262</v>
      </c>
      <c r="L58" s="325" t="s">
        <v>2129</v>
      </c>
      <c r="M58" s="326" t="s">
        <v>2091</v>
      </c>
      <c r="N58" s="326"/>
      <c r="O58" s="330">
        <v>1348.83</v>
      </c>
      <c r="P58" s="330">
        <v>18.23</v>
      </c>
      <c r="Q58" s="331">
        <v>1262</v>
      </c>
      <c r="R58" s="330">
        <v>10000</v>
      </c>
      <c r="S58" s="330">
        <v>1800</v>
      </c>
      <c r="T58" s="326" t="s">
        <v>170</v>
      </c>
      <c r="U58" s="326" t="s">
        <v>2040</v>
      </c>
      <c r="V58" s="332">
        <v>12621</v>
      </c>
      <c r="W58" s="333">
        <v>12516</v>
      </c>
    </row>
    <row r="59" spans="1:23" ht="45" customHeight="1" x14ac:dyDescent="0.4">
      <c r="A59" s="323">
        <v>126925</v>
      </c>
      <c r="B59" s="324" t="s">
        <v>4044</v>
      </c>
      <c r="C59" s="325" t="s">
        <v>2130</v>
      </c>
      <c r="D59" s="326" t="s">
        <v>2045</v>
      </c>
      <c r="E59" s="327" t="s">
        <v>3695</v>
      </c>
      <c r="F59" s="327" t="s">
        <v>3790</v>
      </c>
      <c r="G59" s="327" t="s">
        <v>417</v>
      </c>
      <c r="H59" s="325" t="s">
        <v>2085</v>
      </c>
      <c r="I59" s="325" t="s">
        <v>2086</v>
      </c>
      <c r="J59" s="328">
        <v>12</v>
      </c>
      <c r="K59" s="329">
        <v>1261</v>
      </c>
      <c r="L59" s="325" t="s">
        <v>2131</v>
      </c>
      <c r="M59" s="326" t="s">
        <v>2090</v>
      </c>
      <c r="N59" s="326" t="s">
        <v>2091</v>
      </c>
      <c r="O59" s="330">
        <v>119331.13</v>
      </c>
      <c r="P59" s="330">
        <v>7912.23</v>
      </c>
      <c r="Q59" s="331">
        <v>1261</v>
      </c>
      <c r="R59" s="330">
        <v>30</v>
      </c>
      <c r="S59" s="330">
        <v>3</v>
      </c>
      <c r="T59" s="326" t="s">
        <v>170</v>
      </c>
      <c r="U59" s="326" t="s">
        <v>2040</v>
      </c>
      <c r="V59" s="332">
        <v>12630</v>
      </c>
      <c r="W59" s="333">
        <v>12630</v>
      </c>
    </row>
    <row r="60" spans="1:23" ht="46" customHeight="1" x14ac:dyDescent="0.4">
      <c r="A60" s="323">
        <v>126926</v>
      </c>
      <c r="B60" s="324" t="s">
        <v>4045</v>
      </c>
      <c r="C60" s="325" t="s">
        <v>2132</v>
      </c>
      <c r="D60" s="326" t="s">
        <v>2045</v>
      </c>
      <c r="E60" s="327" t="s">
        <v>3696</v>
      </c>
      <c r="F60" s="327" t="s">
        <v>3791</v>
      </c>
      <c r="G60" s="327" t="s">
        <v>420</v>
      </c>
      <c r="H60" s="325" t="s">
        <v>2085</v>
      </c>
      <c r="I60" s="325" t="s">
        <v>2086</v>
      </c>
      <c r="J60" s="328">
        <v>12</v>
      </c>
      <c r="K60" s="329">
        <v>1261</v>
      </c>
      <c r="L60" s="325" t="s">
        <v>2131</v>
      </c>
      <c r="M60" s="326" t="s">
        <v>2090</v>
      </c>
      <c r="N60" s="326" t="s">
        <v>2091</v>
      </c>
      <c r="O60" s="330">
        <v>119331.13</v>
      </c>
      <c r="P60" s="330">
        <v>7912.23</v>
      </c>
      <c r="Q60" s="331">
        <v>1261</v>
      </c>
      <c r="R60" s="330">
        <v>30</v>
      </c>
      <c r="S60" s="330">
        <v>3</v>
      </c>
      <c r="T60" s="326" t="s">
        <v>170</v>
      </c>
      <c r="U60" s="326" t="s">
        <v>2040</v>
      </c>
      <c r="V60" s="332">
        <v>12630</v>
      </c>
      <c r="W60" s="333">
        <v>12640</v>
      </c>
    </row>
    <row r="61" spans="1:23" ht="45" customHeight="1" x14ac:dyDescent="0.4">
      <c r="A61" s="323">
        <v>131111</v>
      </c>
      <c r="B61" s="324" t="s">
        <v>4046</v>
      </c>
      <c r="C61" s="325" t="s">
        <v>2135</v>
      </c>
      <c r="D61" s="326" t="s">
        <v>2084</v>
      </c>
      <c r="E61" s="327" t="s">
        <v>4047</v>
      </c>
      <c r="F61" s="327" t="s">
        <v>4048</v>
      </c>
      <c r="G61" s="327" t="s">
        <v>423</v>
      </c>
      <c r="H61" s="325" t="s">
        <v>2136</v>
      </c>
      <c r="I61" s="325" t="s">
        <v>228</v>
      </c>
      <c r="J61" s="328">
        <v>13</v>
      </c>
      <c r="K61" s="329">
        <v>1311</v>
      </c>
      <c r="L61" s="325" t="s">
        <v>2137</v>
      </c>
      <c r="M61" s="326" t="s">
        <v>226</v>
      </c>
      <c r="N61" s="326"/>
      <c r="O61" s="330">
        <v>682.76</v>
      </c>
      <c r="P61" s="330">
        <v>9.26</v>
      </c>
      <c r="Q61" s="331">
        <v>1311</v>
      </c>
      <c r="R61" s="330">
        <v>90000</v>
      </c>
      <c r="S61" s="330">
        <v>2300</v>
      </c>
      <c r="T61" s="326" t="s">
        <v>170</v>
      </c>
      <c r="U61" s="326" t="s">
        <v>2040</v>
      </c>
      <c r="V61" s="332">
        <v>13175</v>
      </c>
      <c r="W61" s="333" t="s">
        <v>2138</v>
      </c>
    </row>
    <row r="62" spans="1:23" ht="55.5" customHeight="1" x14ac:dyDescent="0.4">
      <c r="A62" s="323">
        <v>131114</v>
      </c>
      <c r="B62" s="324" t="s">
        <v>4049</v>
      </c>
      <c r="C62" s="325" t="s">
        <v>2139</v>
      </c>
      <c r="D62" s="326" t="s">
        <v>2084</v>
      </c>
      <c r="E62" s="327" t="s">
        <v>426</v>
      </c>
      <c r="F62" s="327" t="s">
        <v>2140</v>
      </c>
      <c r="G62" s="327" t="s">
        <v>427</v>
      </c>
      <c r="H62" s="325" t="s">
        <v>2141</v>
      </c>
      <c r="I62" s="325" t="s">
        <v>228</v>
      </c>
      <c r="J62" s="328">
        <v>13</v>
      </c>
      <c r="K62" s="329">
        <v>1311</v>
      </c>
      <c r="L62" s="325" t="s">
        <v>2137</v>
      </c>
      <c r="M62" s="326" t="s">
        <v>226</v>
      </c>
      <c r="N62" s="326"/>
      <c r="O62" s="330">
        <v>682.76</v>
      </c>
      <c r="P62" s="330">
        <v>9.26</v>
      </c>
      <c r="Q62" s="331">
        <v>1311</v>
      </c>
      <c r="R62" s="330">
        <v>90000</v>
      </c>
      <c r="S62" s="330">
        <v>2300</v>
      </c>
      <c r="T62" s="326" t="s">
        <v>170</v>
      </c>
      <c r="U62" s="326" t="s">
        <v>2040</v>
      </c>
      <c r="V62" s="332">
        <v>13125</v>
      </c>
      <c r="W62" s="333">
        <v>13160</v>
      </c>
    </row>
    <row r="63" spans="1:23" ht="45" customHeight="1" x14ac:dyDescent="0.4">
      <c r="A63" s="323">
        <v>131115</v>
      </c>
      <c r="B63" s="324" t="s">
        <v>4050</v>
      </c>
      <c r="C63" s="325" t="s">
        <v>2142</v>
      </c>
      <c r="D63" s="326" t="s">
        <v>2084</v>
      </c>
      <c r="E63" s="327" t="s">
        <v>4051</v>
      </c>
      <c r="F63" s="327"/>
      <c r="G63" s="327" t="s">
        <v>429</v>
      </c>
      <c r="H63" s="325" t="s">
        <v>2143</v>
      </c>
      <c r="I63" s="325" t="s">
        <v>2136</v>
      </c>
      <c r="J63" s="328">
        <v>13</v>
      </c>
      <c r="K63" s="329">
        <v>1311</v>
      </c>
      <c r="L63" s="325" t="s">
        <v>2137</v>
      </c>
      <c r="M63" s="326" t="s">
        <v>226</v>
      </c>
      <c r="N63" s="326"/>
      <c r="O63" s="330">
        <v>682.76</v>
      </c>
      <c r="P63" s="330">
        <v>9.26</v>
      </c>
      <c r="Q63" s="331">
        <v>1311</v>
      </c>
      <c r="R63" s="330">
        <v>90000</v>
      </c>
      <c r="S63" s="330">
        <v>2300</v>
      </c>
      <c r="T63" s="326" t="s">
        <v>170</v>
      </c>
      <c r="U63" s="326" t="s">
        <v>2040</v>
      </c>
      <c r="V63" s="332">
        <v>13170</v>
      </c>
      <c r="W63" s="333">
        <v>13135</v>
      </c>
    </row>
    <row r="64" spans="1:23" ht="45" customHeight="1" x14ac:dyDescent="0.4">
      <c r="A64" s="323">
        <v>131116</v>
      </c>
      <c r="B64" s="324" t="s">
        <v>4052</v>
      </c>
      <c r="C64" s="325" t="s">
        <v>2144</v>
      </c>
      <c r="D64" s="326" t="s">
        <v>2084</v>
      </c>
      <c r="E64" s="327" t="s">
        <v>4053</v>
      </c>
      <c r="F64" s="327"/>
      <c r="G64" s="327" t="s">
        <v>432</v>
      </c>
      <c r="H64" s="325" t="s">
        <v>2143</v>
      </c>
      <c r="I64" s="325" t="s">
        <v>2136</v>
      </c>
      <c r="J64" s="328">
        <v>13</v>
      </c>
      <c r="K64" s="329">
        <v>1311</v>
      </c>
      <c r="L64" s="325" t="s">
        <v>2137</v>
      </c>
      <c r="M64" s="326" t="s">
        <v>226</v>
      </c>
      <c r="N64" s="326"/>
      <c r="O64" s="330">
        <v>682.76</v>
      </c>
      <c r="P64" s="330">
        <v>9.26</v>
      </c>
      <c r="Q64" s="331">
        <v>1311</v>
      </c>
      <c r="R64" s="330">
        <v>90000</v>
      </c>
      <c r="S64" s="330">
        <v>2300</v>
      </c>
      <c r="T64" s="326" t="s">
        <v>170</v>
      </c>
      <c r="U64" s="326" t="s">
        <v>2040</v>
      </c>
      <c r="V64" s="332">
        <v>13160</v>
      </c>
      <c r="W64" s="333" t="s">
        <v>2145</v>
      </c>
    </row>
    <row r="65" spans="1:23" ht="45" customHeight="1" x14ac:dyDescent="0.4">
      <c r="A65" s="323">
        <v>131117</v>
      </c>
      <c r="B65" s="324" t="s">
        <v>4054</v>
      </c>
      <c r="C65" s="325" t="s">
        <v>2144</v>
      </c>
      <c r="D65" s="326" t="s">
        <v>2084</v>
      </c>
      <c r="E65" s="327" t="s">
        <v>4055</v>
      </c>
      <c r="F65" s="327"/>
      <c r="G65" s="327" t="s">
        <v>434</v>
      </c>
      <c r="H65" s="325" t="s">
        <v>2143</v>
      </c>
      <c r="I65" s="325" t="s">
        <v>2136</v>
      </c>
      <c r="J65" s="328">
        <v>13</v>
      </c>
      <c r="K65" s="329">
        <v>1311</v>
      </c>
      <c r="L65" s="325" t="s">
        <v>2137</v>
      </c>
      <c r="M65" s="326" t="s">
        <v>226</v>
      </c>
      <c r="N65" s="326"/>
      <c r="O65" s="330">
        <v>682.76</v>
      </c>
      <c r="P65" s="330">
        <v>9.26</v>
      </c>
      <c r="Q65" s="331">
        <v>1311</v>
      </c>
      <c r="R65" s="330">
        <v>90000</v>
      </c>
      <c r="S65" s="330">
        <v>2300</v>
      </c>
      <c r="T65" s="326" t="s">
        <v>170</v>
      </c>
      <c r="U65" s="326" t="s">
        <v>2040</v>
      </c>
      <c r="V65" s="332">
        <v>13170</v>
      </c>
      <c r="W65" s="333">
        <v>13150</v>
      </c>
    </row>
    <row r="66" spans="1:23" ht="45" customHeight="1" x14ac:dyDescent="0.4">
      <c r="A66" s="323">
        <v>131118</v>
      </c>
      <c r="B66" s="324" t="s">
        <v>4056</v>
      </c>
      <c r="C66" s="325" t="s">
        <v>2146</v>
      </c>
      <c r="D66" s="326" t="s">
        <v>2084</v>
      </c>
      <c r="E66" s="327" t="s">
        <v>437</v>
      </c>
      <c r="F66" s="327"/>
      <c r="G66" s="327" t="s">
        <v>438</v>
      </c>
      <c r="H66" s="325" t="s">
        <v>2143</v>
      </c>
      <c r="I66" s="325" t="s">
        <v>2136</v>
      </c>
      <c r="J66" s="328">
        <v>13</v>
      </c>
      <c r="K66" s="329">
        <v>1311</v>
      </c>
      <c r="L66" s="325" t="s">
        <v>2137</v>
      </c>
      <c r="M66" s="326" t="s">
        <v>226</v>
      </c>
      <c r="N66" s="326"/>
      <c r="O66" s="330">
        <v>682.76</v>
      </c>
      <c r="P66" s="330">
        <v>9.26</v>
      </c>
      <c r="Q66" s="331">
        <v>1311</v>
      </c>
      <c r="R66" s="330">
        <v>90000</v>
      </c>
      <c r="S66" s="330">
        <v>2300</v>
      </c>
      <c r="T66" s="326" t="s">
        <v>170</v>
      </c>
      <c r="U66" s="326" t="s">
        <v>2040</v>
      </c>
      <c r="V66" s="332"/>
      <c r="W66" s="333">
        <v>13120</v>
      </c>
    </row>
    <row r="67" spans="1:23" ht="45" customHeight="1" x14ac:dyDescent="0.4">
      <c r="A67" s="323">
        <v>131119</v>
      </c>
      <c r="B67" s="324" t="s">
        <v>4057</v>
      </c>
      <c r="C67" s="325" t="s">
        <v>2147</v>
      </c>
      <c r="D67" s="326" t="s">
        <v>2084</v>
      </c>
      <c r="E67" s="327" t="s">
        <v>441</v>
      </c>
      <c r="F67" s="327"/>
      <c r="G67" s="327" t="s">
        <v>442</v>
      </c>
      <c r="H67" s="325" t="s">
        <v>2143</v>
      </c>
      <c r="I67" s="325" t="s">
        <v>2136</v>
      </c>
      <c r="J67" s="328">
        <v>14</v>
      </c>
      <c r="K67" s="329">
        <v>1441</v>
      </c>
      <c r="L67" s="325" t="s">
        <v>2148</v>
      </c>
      <c r="M67" s="326" t="s">
        <v>226</v>
      </c>
      <c r="N67" s="326"/>
      <c r="O67" s="330">
        <v>426.4</v>
      </c>
      <c r="P67" s="330">
        <v>6.47</v>
      </c>
      <c r="Q67" s="331">
        <v>1441</v>
      </c>
      <c r="R67" s="330">
        <v>18000</v>
      </c>
      <c r="S67" s="330">
        <v>3900</v>
      </c>
      <c r="T67" s="326" t="s">
        <v>170</v>
      </c>
      <c r="U67" s="326" t="s">
        <v>2040</v>
      </c>
      <c r="V67" s="332"/>
      <c r="W67" s="333">
        <v>74027</v>
      </c>
    </row>
    <row r="68" spans="1:23" ht="45" customHeight="1" x14ac:dyDescent="0.4">
      <c r="A68" s="323">
        <v>131132</v>
      </c>
      <c r="B68" s="324" t="s">
        <v>4058</v>
      </c>
      <c r="C68" s="325" t="s">
        <v>2149</v>
      </c>
      <c r="D68" s="326" t="s">
        <v>2084</v>
      </c>
      <c r="E68" s="327" t="s">
        <v>444</v>
      </c>
      <c r="F68" s="327"/>
      <c r="G68" s="327" t="s">
        <v>445</v>
      </c>
      <c r="H68" s="325" t="s">
        <v>2143</v>
      </c>
      <c r="I68" s="325" t="s">
        <v>2136</v>
      </c>
      <c r="J68" s="328">
        <v>13</v>
      </c>
      <c r="K68" s="329">
        <v>1312</v>
      </c>
      <c r="L68" s="325" t="s">
        <v>2150</v>
      </c>
      <c r="M68" s="326" t="s">
        <v>226</v>
      </c>
      <c r="N68" s="326"/>
      <c r="O68" s="330">
        <v>527.61</v>
      </c>
      <c r="P68" s="330">
        <v>17.34</v>
      </c>
      <c r="Q68" s="331">
        <v>1312</v>
      </c>
      <c r="R68" s="330">
        <v>15000</v>
      </c>
      <c r="S68" s="330">
        <v>1500</v>
      </c>
      <c r="T68" s="326" t="s">
        <v>170</v>
      </c>
      <c r="U68" s="326" t="s">
        <v>2040</v>
      </c>
      <c r="V68" s="332"/>
      <c r="W68" s="333">
        <v>13124</v>
      </c>
    </row>
    <row r="69" spans="1:23" ht="52.5" customHeight="1" x14ac:dyDescent="0.4">
      <c r="A69" s="323">
        <v>131133</v>
      </c>
      <c r="B69" s="324" t="s">
        <v>4059</v>
      </c>
      <c r="C69" s="325" t="s">
        <v>2151</v>
      </c>
      <c r="D69" s="326" t="s">
        <v>2084</v>
      </c>
      <c r="E69" s="327" t="s">
        <v>447</v>
      </c>
      <c r="F69" s="327" t="s">
        <v>4060</v>
      </c>
      <c r="G69" s="327" t="s">
        <v>448</v>
      </c>
      <c r="H69" s="325" t="s">
        <v>2143</v>
      </c>
      <c r="I69" s="325" t="s">
        <v>2136</v>
      </c>
      <c r="J69" s="328">
        <v>13</v>
      </c>
      <c r="K69" s="329">
        <v>1311</v>
      </c>
      <c r="L69" s="325" t="s">
        <v>2137</v>
      </c>
      <c r="M69" s="326" t="s">
        <v>226</v>
      </c>
      <c r="N69" s="326"/>
      <c r="O69" s="330">
        <v>682.76</v>
      </c>
      <c r="P69" s="330">
        <v>9.26</v>
      </c>
      <c r="Q69" s="331">
        <v>1311</v>
      </c>
      <c r="R69" s="330">
        <v>90000</v>
      </c>
      <c r="S69" s="330">
        <v>2300</v>
      </c>
      <c r="T69" s="326" t="s">
        <v>170</v>
      </c>
      <c r="U69" s="326" t="s">
        <v>2040</v>
      </c>
      <c r="V69" s="332"/>
      <c r="W69" s="333">
        <v>13122</v>
      </c>
    </row>
    <row r="70" spans="1:23" ht="45" customHeight="1" x14ac:dyDescent="0.4">
      <c r="A70" s="323">
        <v>131134</v>
      </c>
      <c r="B70" s="324" t="s">
        <v>4061</v>
      </c>
      <c r="C70" s="325" t="s">
        <v>2152</v>
      </c>
      <c r="D70" s="326" t="s">
        <v>2084</v>
      </c>
      <c r="E70" s="327" t="s">
        <v>451</v>
      </c>
      <c r="F70" s="327" t="s">
        <v>3792</v>
      </c>
      <c r="G70" s="327" t="s">
        <v>452</v>
      </c>
      <c r="H70" s="325" t="s">
        <v>2143</v>
      </c>
      <c r="I70" s="325" t="s">
        <v>2136</v>
      </c>
      <c r="J70" s="328">
        <v>13</v>
      </c>
      <c r="K70" s="329">
        <v>1311</v>
      </c>
      <c r="L70" s="325" t="s">
        <v>2137</v>
      </c>
      <c r="M70" s="326" t="s">
        <v>226</v>
      </c>
      <c r="N70" s="326"/>
      <c r="O70" s="330">
        <v>682.76</v>
      </c>
      <c r="P70" s="330">
        <v>9.26</v>
      </c>
      <c r="Q70" s="331">
        <v>1311</v>
      </c>
      <c r="R70" s="330">
        <v>90000</v>
      </c>
      <c r="S70" s="330">
        <v>2300</v>
      </c>
      <c r="T70" s="326" t="s">
        <v>170</v>
      </c>
      <c r="U70" s="326" t="s">
        <v>2040</v>
      </c>
      <c r="V70" s="332"/>
      <c r="W70" s="333">
        <v>13120</v>
      </c>
    </row>
    <row r="71" spans="1:23" ht="45" customHeight="1" x14ac:dyDescent="0.4">
      <c r="A71" s="323">
        <v>131135</v>
      </c>
      <c r="B71" s="324" t="s">
        <v>4062</v>
      </c>
      <c r="C71" s="325" t="s">
        <v>2153</v>
      </c>
      <c r="D71" s="326" t="s">
        <v>2084</v>
      </c>
      <c r="E71" s="327" t="s">
        <v>455</v>
      </c>
      <c r="F71" s="327" t="s">
        <v>3793</v>
      </c>
      <c r="G71" s="327" t="s">
        <v>456</v>
      </c>
      <c r="H71" s="325" t="s">
        <v>2143</v>
      </c>
      <c r="I71" s="325" t="s">
        <v>2136</v>
      </c>
      <c r="J71" s="328">
        <v>13</v>
      </c>
      <c r="K71" s="329">
        <v>1311</v>
      </c>
      <c r="L71" s="325" t="s">
        <v>2137</v>
      </c>
      <c r="M71" s="326" t="s">
        <v>226</v>
      </c>
      <c r="N71" s="326"/>
      <c r="O71" s="330">
        <v>682.76</v>
      </c>
      <c r="P71" s="330">
        <v>9.26</v>
      </c>
      <c r="Q71" s="331">
        <v>1311</v>
      </c>
      <c r="R71" s="330">
        <v>90000</v>
      </c>
      <c r="S71" s="330">
        <v>2300</v>
      </c>
      <c r="T71" s="326" t="s">
        <v>170</v>
      </c>
      <c r="U71" s="326" t="s">
        <v>2040</v>
      </c>
      <c r="V71" s="332"/>
      <c r="W71" s="333">
        <v>13142</v>
      </c>
    </row>
    <row r="72" spans="1:23" ht="45" customHeight="1" x14ac:dyDescent="0.4">
      <c r="A72" s="323">
        <v>131136</v>
      </c>
      <c r="B72" s="324" t="s">
        <v>4063</v>
      </c>
      <c r="C72" s="325" t="s">
        <v>2154</v>
      </c>
      <c r="D72" s="326" t="s">
        <v>2084</v>
      </c>
      <c r="E72" s="327" t="s">
        <v>459</v>
      </c>
      <c r="F72" s="327"/>
      <c r="G72" s="327" t="s">
        <v>460</v>
      </c>
      <c r="H72" s="325" t="s">
        <v>2143</v>
      </c>
      <c r="I72" s="325" t="s">
        <v>2136</v>
      </c>
      <c r="J72" s="328">
        <v>13</v>
      </c>
      <c r="K72" s="329">
        <v>1311</v>
      </c>
      <c r="L72" s="325" t="s">
        <v>2137</v>
      </c>
      <c r="M72" s="326" t="s">
        <v>226</v>
      </c>
      <c r="N72" s="326"/>
      <c r="O72" s="330">
        <v>682.76</v>
      </c>
      <c r="P72" s="330">
        <v>9.26</v>
      </c>
      <c r="Q72" s="331">
        <v>1311</v>
      </c>
      <c r="R72" s="330">
        <v>90000</v>
      </c>
      <c r="S72" s="330">
        <v>2300</v>
      </c>
      <c r="T72" s="326" t="s">
        <v>170</v>
      </c>
      <c r="U72" s="326" t="s">
        <v>2040</v>
      </c>
      <c r="V72" s="332">
        <v>13170</v>
      </c>
      <c r="W72" s="333">
        <v>13135</v>
      </c>
    </row>
    <row r="73" spans="1:23" ht="45" customHeight="1" x14ac:dyDescent="0.4">
      <c r="A73" s="323">
        <v>131137</v>
      </c>
      <c r="B73" s="324" t="s">
        <v>4064</v>
      </c>
      <c r="C73" s="325" t="s">
        <v>2155</v>
      </c>
      <c r="D73" s="326" t="s">
        <v>2084</v>
      </c>
      <c r="E73" s="327" t="s">
        <v>462</v>
      </c>
      <c r="F73" s="327"/>
      <c r="G73" s="327" t="s">
        <v>463</v>
      </c>
      <c r="H73" s="325" t="s">
        <v>2143</v>
      </c>
      <c r="I73" s="325" t="s">
        <v>2136</v>
      </c>
      <c r="J73" s="328">
        <v>13</v>
      </c>
      <c r="K73" s="329">
        <v>1311</v>
      </c>
      <c r="L73" s="325" t="s">
        <v>2137</v>
      </c>
      <c r="M73" s="326" t="s">
        <v>226</v>
      </c>
      <c r="N73" s="326"/>
      <c r="O73" s="330">
        <v>682.76</v>
      </c>
      <c r="P73" s="330">
        <v>9.26</v>
      </c>
      <c r="Q73" s="331">
        <v>1311</v>
      </c>
      <c r="R73" s="330">
        <v>90000</v>
      </c>
      <c r="S73" s="330">
        <v>2300</v>
      </c>
      <c r="T73" s="326" t="s">
        <v>170</v>
      </c>
      <c r="U73" s="326" t="s">
        <v>2040</v>
      </c>
      <c r="V73" s="332">
        <v>13160</v>
      </c>
      <c r="W73" s="333">
        <v>13150</v>
      </c>
    </row>
    <row r="74" spans="1:23" ht="45" customHeight="1" x14ac:dyDescent="0.4">
      <c r="A74" s="323">
        <v>131138</v>
      </c>
      <c r="B74" s="324" t="s">
        <v>4065</v>
      </c>
      <c r="C74" s="325" t="s">
        <v>2156</v>
      </c>
      <c r="D74" s="326" t="s">
        <v>2084</v>
      </c>
      <c r="E74" s="327" t="s">
        <v>466</v>
      </c>
      <c r="F74" s="327"/>
      <c r="G74" s="327" t="s">
        <v>467</v>
      </c>
      <c r="H74" s="325" t="s">
        <v>2136</v>
      </c>
      <c r="I74" s="325" t="s">
        <v>228</v>
      </c>
      <c r="J74" s="328">
        <v>13</v>
      </c>
      <c r="K74" s="329">
        <v>1311</v>
      </c>
      <c r="L74" s="325" t="s">
        <v>2137</v>
      </c>
      <c r="M74" s="326" t="s">
        <v>226</v>
      </c>
      <c r="N74" s="326"/>
      <c r="O74" s="330">
        <v>682.76</v>
      </c>
      <c r="P74" s="330">
        <v>9.26</v>
      </c>
      <c r="Q74" s="331">
        <v>1311</v>
      </c>
      <c r="R74" s="330">
        <v>90000</v>
      </c>
      <c r="S74" s="330">
        <v>2300</v>
      </c>
      <c r="T74" s="326" t="s">
        <v>170</v>
      </c>
      <c r="U74" s="326" t="s">
        <v>2040</v>
      </c>
      <c r="V74" s="332"/>
      <c r="W74" s="333">
        <v>13122</v>
      </c>
    </row>
    <row r="75" spans="1:23" ht="45" customHeight="1" x14ac:dyDescent="0.4">
      <c r="A75" s="323">
        <v>131139</v>
      </c>
      <c r="B75" s="324" t="s">
        <v>4066</v>
      </c>
      <c r="C75" s="325" t="s">
        <v>469</v>
      </c>
      <c r="D75" s="326" t="s">
        <v>2084</v>
      </c>
      <c r="E75" s="327" t="s">
        <v>470</v>
      </c>
      <c r="F75" s="327"/>
      <c r="G75" s="327" t="s">
        <v>471</v>
      </c>
      <c r="H75" s="325" t="s">
        <v>2136</v>
      </c>
      <c r="I75" s="325" t="s">
        <v>228</v>
      </c>
      <c r="J75" s="328">
        <v>13</v>
      </c>
      <c r="K75" s="329">
        <v>1311</v>
      </c>
      <c r="L75" s="325" t="s">
        <v>2137</v>
      </c>
      <c r="M75" s="326" t="s">
        <v>226</v>
      </c>
      <c r="N75" s="326"/>
      <c r="O75" s="330">
        <v>682.76</v>
      </c>
      <c r="P75" s="330">
        <v>9.26</v>
      </c>
      <c r="Q75" s="331">
        <v>1311</v>
      </c>
      <c r="R75" s="330">
        <v>90000</v>
      </c>
      <c r="S75" s="330">
        <v>2300</v>
      </c>
      <c r="T75" s="326" t="s">
        <v>170</v>
      </c>
      <c r="U75" s="326" t="s">
        <v>2040</v>
      </c>
      <c r="V75" s="332"/>
      <c r="W75" s="333">
        <v>13120</v>
      </c>
    </row>
    <row r="76" spans="1:23" ht="45" customHeight="1" x14ac:dyDescent="0.4">
      <c r="A76" s="323">
        <v>131143</v>
      </c>
      <c r="B76" s="324" t="s">
        <v>4067</v>
      </c>
      <c r="C76" s="325" t="s">
        <v>473</v>
      </c>
      <c r="D76" s="326" t="s">
        <v>2084</v>
      </c>
      <c r="E76" s="327" t="s">
        <v>474</v>
      </c>
      <c r="F76" s="327" t="s">
        <v>3794</v>
      </c>
      <c r="G76" s="327" t="s">
        <v>475</v>
      </c>
      <c r="H76" s="325" t="s">
        <v>2136</v>
      </c>
      <c r="I76" s="325" t="s">
        <v>228</v>
      </c>
      <c r="J76" s="328">
        <v>13</v>
      </c>
      <c r="K76" s="329">
        <v>1311</v>
      </c>
      <c r="L76" s="325" t="s">
        <v>2137</v>
      </c>
      <c r="M76" s="326" t="s">
        <v>226</v>
      </c>
      <c r="N76" s="326"/>
      <c r="O76" s="330">
        <v>682.76</v>
      </c>
      <c r="P76" s="330">
        <v>9.26</v>
      </c>
      <c r="Q76" s="331">
        <v>1311</v>
      </c>
      <c r="R76" s="330">
        <v>90000</v>
      </c>
      <c r="S76" s="330">
        <v>2300</v>
      </c>
      <c r="T76" s="326" t="s">
        <v>170</v>
      </c>
      <c r="U76" s="326" t="s">
        <v>2040</v>
      </c>
      <c r="V76" s="332"/>
      <c r="W76" s="333"/>
    </row>
    <row r="77" spans="1:23" ht="45" customHeight="1" x14ac:dyDescent="0.4">
      <c r="A77" s="323">
        <v>131200</v>
      </c>
      <c r="B77" s="324" t="s">
        <v>4068</v>
      </c>
      <c r="C77" s="325" t="s">
        <v>2157</v>
      </c>
      <c r="D77" s="326" t="s">
        <v>2084</v>
      </c>
      <c r="E77" s="327" t="s">
        <v>4069</v>
      </c>
      <c r="F77" s="327" t="s">
        <v>4070</v>
      </c>
      <c r="G77" s="327" t="s">
        <v>477</v>
      </c>
      <c r="H77" s="325" t="s">
        <v>2136</v>
      </c>
      <c r="I77" s="325" t="s">
        <v>2069</v>
      </c>
      <c r="J77" s="328">
        <v>13</v>
      </c>
      <c r="K77" s="329">
        <v>1311</v>
      </c>
      <c r="L77" s="325" t="s">
        <v>2137</v>
      </c>
      <c r="M77" s="326" t="s">
        <v>226</v>
      </c>
      <c r="N77" s="326"/>
      <c r="O77" s="330">
        <v>682.76</v>
      </c>
      <c r="P77" s="330">
        <v>9.26</v>
      </c>
      <c r="Q77" s="331">
        <v>1311</v>
      </c>
      <c r="R77" s="330">
        <v>90000</v>
      </c>
      <c r="S77" s="330">
        <v>2300</v>
      </c>
      <c r="T77" s="326" t="s">
        <v>170</v>
      </c>
      <c r="U77" s="326" t="s">
        <v>2040</v>
      </c>
      <c r="V77" s="332"/>
      <c r="W77" s="333"/>
    </row>
    <row r="78" spans="1:23" ht="45" customHeight="1" x14ac:dyDescent="0.4">
      <c r="A78" s="335">
        <v>131205</v>
      </c>
      <c r="B78" s="324" t="s">
        <v>4071</v>
      </c>
      <c r="C78" s="325" t="s">
        <v>4072</v>
      </c>
      <c r="D78" s="326" t="s">
        <v>2084</v>
      </c>
      <c r="E78" s="327" t="s">
        <v>4073</v>
      </c>
      <c r="F78" s="327"/>
      <c r="G78" s="327" t="s">
        <v>383</v>
      </c>
      <c r="H78" s="325" t="e">
        <v>#N/A</v>
      </c>
      <c r="I78" s="325" t="e">
        <v>#N/A</v>
      </c>
      <c r="J78" s="328">
        <v>92</v>
      </c>
      <c r="K78" s="329">
        <v>1312</v>
      </c>
      <c r="L78" s="325" t="s">
        <v>2150</v>
      </c>
      <c r="M78" s="326" t="s">
        <v>226</v>
      </c>
      <c r="N78" s="326"/>
      <c r="O78" s="330">
        <v>527.61</v>
      </c>
      <c r="P78" s="330">
        <v>17.34</v>
      </c>
      <c r="Q78" s="331">
        <v>1312</v>
      </c>
      <c r="R78" s="330">
        <v>15000</v>
      </c>
      <c r="S78" s="330">
        <v>1500</v>
      </c>
      <c r="T78" s="326" t="s">
        <v>170</v>
      </c>
      <c r="U78" s="326" t="s">
        <v>2040</v>
      </c>
      <c r="V78" s="332"/>
      <c r="W78" s="333"/>
    </row>
    <row r="79" spans="1:23" ht="45" customHeight="1" x14ac:dyDescent="0.4">
      <c r="A79" s="335">
        <v>131210</v>
      </c>
      <c r="B79" s="324" t="s">
        <v>4074</v>
      </c>
      <c r="C79" s="325" t="s">
        <v>4075</v>
      </c>
      <c r="D79" s="326" t="s">
        <v>2084</v>
      </c>
      <c r="E79" s="327" t="s">
        <v>4076</v>
      </c>
      <c r="F79" s="327"/>
      <c r="G79" s="327" t="s">
        <v>383</v>
      </c>
      <c r="H79" s="325" t="e">
        <v>#N/A</v>
      </c>
      <c r="I79" s="325" t="e">
        <v>#N/A</v>
      </c>
      <c r="J79" s="328">
        <v>93</v>
      </c>
      <c r="K79" s="329">
        <v>1312</v>
      </c>
      <c r="L79" s="325" t="s">
        <v>2150</v>
      </c>
      <c r="M79" s="326" t="s">
        <v>226</v>
      </c>
      <c r="N79" s="326"/>
      <c r="O79" s="330">
        <v>527.61</v>
      </c>
      <c r="P79" s="330">
        <v>17.34</v>
      </c>
      <c r="Q79" s="331">
        <v>1312</v>
      </c>
      <c r="R79" s="330">
        <v>15000</v>
      </c>
      <c r="S79" s="330">
        <v>1500</v>
      </c>
      <c r="T79" s="326" t="s">
        <v>170</v>
      </c>
      <c r="U79" s="326" t="s">
        <v>2040</v>
      </c>
      <c r="V79" s="332"/>
      <c r="W79" s="333"/>
    </row>
    <row r="80" spans="1:23" ht="45" customHeight="1" x14ac:dyDescent="0.4">
      <c r="A80" s="323">
        <v>132131</v>
      </c>
      <c r="B80" s="324" t="s">
        <v>4077</v>
      </c>
      <c r="C80" s="325" t="s">
        <v>2158</v>
      </c>
      <c r="D80" s="326" t="s">
        <v>2045</v>
      </c>
      <c r="E80" s="327" t="s">
        <v>480</v>
      </c>
      <c r="F80" s="327"/>
      <c r="G80" s="327" t="s">
        <v>481</v>
      </c>
      <c r="H80" s="325" t="s">
        <v>2035</v>
      </c>
      <c r="I80" s="325" t="s">
        <v>2136</v>
      </c>
      <c r="J80" s="328">
        <v>13</v>
      </c>
      <c r="K80" s="329">
        <v>1321</v>
      </c>
      <c r="L80" s="325" t="s">
        <v>3795</v>
      </c>
      <c r="M80" s="326" t="s">
        <v>2076</v>
      </c>
      <c r="N80" s="326"/>
      <c r="O80" s="330">
        <v>43840.59</v>
      </c>
      <c r="P80" s="330">
        <v>941.95</v>
      </c>
      <c r="Q80" s="331">
        <v>1321</v>
      </c>
      <c r="R80" s="330">
        <v>360</v>
      </c>
      <c r="S80" s="330">
        <v>1</v>
      </c>
      <c r="T80" s="326" t="s">
        <v>170</v>
      </c>
      <c r="U80" s="326" t="s">
        <v>2040</v>
      </c>
      <c r="V80" s="332">
        <v>13220</v>
      </c>
      <c r="W80" s="333">
        <v>13210</v>
      </c>
    </row>
    <row r="81" spans="1:23" ht="45" customHeight="1" x14ac:dyDescent="0.4">
      <c r="A81" s="323">
        <v>132133</v>
      </c>
      <c r="B81" s="324" t="s">
        <v>4078</v>
      </c>
      <c r="C81" s="325" t="s">
        <v>2159</v>
      </c>
      <c r="D81" s="326" t="s">
        <v>2034</v>
      </c>
      <c r="E81" s="327" t="s">
        <v>4079</v>
      </c>
      <c r="F81" s="327" t="s">
        <v>2160</v>
      </c>
      <c r="G81" s="327" t="s">
        <v>483</v>
      </c>
      <c r="H81" s="325" t="s">
        <v>2035</v>
      </c>
      <c r="I81" s="325" t="s">
        <v>2136</v>
      </c>
      <c r="J81" s="328">
        <v>85</v>
      </c>
      <c r="K81" s="329">
        <v>8526</v>
      </c>
      <c r="L81" s="325" t="s">
        <v>2161</v>
      </c>
      <c r="M81" s="326" t="s">
        <v>2038</v>
      </c>
      <c r="N81" s="326"/>
      <c r="O81" s="330">
        <v>76.33</v>
      </c>
      <c r="P81" s="330">
        <v>1.8</v>
      </c>
      <c r="Q81" s="331">
        <v>8526</v>
      </c>
      <c r="R81" s="330">
        <v>160000</v>
      </c>
      <c r="S81" s="330">
        <v>530</v>
      </c>
      <c r="T81" s="326" t="s">
        <v>170</v>
      </c>
      <c r="U81" s="326" t="s">
        <v>2040</v>
      </c>
      <c r="V81" s="332">
        <v>85225</v>
      </c>
      <c r="W81" s="333" t="s">
        <v>2162</v>
      </c>
    </row>
    <row r="82" spans="1:23" ht="45" customHeight="1" x14ac:dyDescent="0.4">
      <c r="A82" s="323">
        <v>132134</v>
      </c>
      <c r="B82" s="324" t="s">
        <v>4080</v>
      </c>
      <c r="C82" s="325" t="s">
        <v>2163</v>
      </c>
      <c r="D82" s="326" t="s">
        <v>2045</v>
      </c>
      <c r="E82" s="327" t="s">
        <v>484</v>
      </c>
      <c r="F82" s="327"/>
      <c r="G82" s="327" t="s">
        <v>485</v>
      </c>
      <c r="H82" s="325" t="s">
        <v>2136</v>
      </c>
      <c r="I82" s="325" t="s">
        <v>2035</v>
      </c>
      <c r="J82" s="328">
        <v>13</v>
      </c>
      <c r="K82" s="329">
        <v>1321</v>
      </c>
      <c r="L82" s="325" t="s">
        <v>3795</v>
      </c>
      <c r="M82" s="326" t="s">
        <v>2076</v>
      </c>
      <c r="N82" s="326"/>
      <c r="O82" s="330">
        <v>43840.59</v>
      </c>
      <c r="P82" s="330">
        <v>941.95</v>
      </c>
      <c r="Q82" s="331">
        <v>1321</v>
      </c>
      <c r="R82" s="330">
        <v>360</v>
      </c>
      <c r="S82" s="330">
        <v>1</v>
      </c>
      <c r="T82" s="326" t="s">
        <v>170</v>
      </c>
      <c r="U82" s="326" t="s">
        <v>2040</v>
      </c>
      <c r="V82" s="332">
        <v>13220</v>
      </c>
      <c r="W82" s="333">
        <v>13210</v>
      </c>
    </row>
    <row r="83" spans="1:23" ht="45" customHeight="1" x14ac:dyDescent="0.4">
      <c r="A83" s="323">
        <v>133101</v>
      </c>
      <c r="B83" s="324" t="s">
        <v>4081</v>
      </c>
      <c r="C83" s="325" t="s">
        <v>2164</v>
      </c>
      <c r="D83" s="326" t="s">
        <v>2084</v>
      </c>
      <c r="E83" s="327" t="s">
        <v>487</v>
      </c>
      <c r="F83" s="327"/>
      <c r="G83" s="327" t="s">
        <v>488</v>
      </c>
      <c r="H83" s="325" t="s">
        <v>228</v>
      </c>
      <c r="I83" s="325" t="s">
        <v>228</v>
      </c>
      <c r="J83" s="328">
        <v>13</v>
      </c>
      <c r="K83" s="329">
        <v>1331</v>
      </c>
      <c r="L83" s="325" t="s">
        <v>2165</v>
      </c>
      <c r="M83" s="326" t="s">
        <v>226</v>
      </c>
      <c r="N83" s="326"/>
      <c r="O83" s="330">
        <v>698</v>
      </c>
      <c r="P83" s="330">
        <v>8.86</v>
      </c>
      <c r="Q83" s="331">
        <v>1331</v>
      </c>
      <c r="R83" s="330">
        <v>26000</v>
      </c>
      <c r="S83" s="330">
        <v>3800</v>
      </c>
      <c r="T83" s="326" t="s">
        <v>170</v>
      </c>
      <c r="U83" s="326" t="s">
        <v>2040</v>
      </c>
      <c r="V83" s="332">
        <v>13320</v>
      </c>
      <c r="W83" s="333">
        <v>13335</v>
      </c>
    </row>
    <row r="84" spans="1:23" ht="45" customHeight="1" x14ac:dyDescent="0.4">
      <c r="A84" s="323">
        <v>133200</v>
      </c>
      <c r="B84" s="324" t="s">
        <v>4082</v>
      </c>
      <c r="C84" s="325" t="s">
        <v>2166</v>
      </c>
      <c r="D84" s="326" t="s">
        <v>2084</v>
      </c>
      <c r="E84" s="327" t="s">
        <v>4083</v>
      </c>
      <c r="F84" s="327"/>
      <c r="G84" s="327" t="s">
        <v>383</v>
      </c>
      <c r="H84" s="325" t="e">
        <v>#N/A</v>
      </c>
      <c r="I84" s="325" t="e">
        <v>#N/A</v>
      </c>
      <c r="J84" s="326">
        <v>13</v>
      </c>
      <c r="K84" s="329">
        <v>1331</v>
      </c>
      <c r="L84" s="325" t="s">
        <v>2165</v>
      </c>
      <c r="M84" s="326" t="s">
        <v>226</v>
      </c>
      <c r="N84" s="326"/>
      <c r="O84" s="330">
        <v>698</v>
      </c>
      <c r="P84" s="330">
        <v>8.86</v>
      </c>
      <c r="Q84" s="331">
        <v>1331</v>
      </c>
      <c r="R84" s="330">
        <v>26000</v>
      </c>
      <c r="S84" s="330">
        <v>3800</v>
      </c>
      <c r="T84" s="326" t="s">
        <v>170</v>
      </c>
      <c r="U84" s="326" t="s">
        <v>2040</v>
      </c>
      <c r="V84" s="332">
        <v>13320</v>
      </c>
      <c r="W84" s="333">
        <v>13365</v>
      </c>
    </row>
    <row r="85" spans="1:23" ht="45" customHeight="1" x14ac:dyDescent="0.4">
      <c r="A85" s="323">
        <v>133314</v>
      </c>
      <c r="B85" s="324" t="s">
        <v>4084</v>
      </c>
      <c r="C85" s="325" t="s">
        <v>2167</v>
      </c>
      <c r="D85" s="326" t="s">
        <v>2084</v>
      </c>
      <c r="E85" s="327" t="s">
        <v>491</v>
      </c>
      <c r="F85" s="327" t="s">
        <v>2168</v>
      </c>
      <c r="G85" s="327" t="s">
        <v>492</v>
      </c>
      <c r="H85" s="325" t="s">
        <v>2136</v>
      </c>
      <c r="I85" s="325" t="s">
        <v>228</v>
      </c>
      <c r="J85" s="328">
        <v>13</v>
      </c>
      <c r="K85" s="329">
        <v>1331</v>
      </c>
      <c r="L85" s="325" t="s">
        <v>2165</v>
      </c>
      <c r="M85" s="326" t="s">
        <v>226</v>
      </c>
      <c r="N85" s="326"/>
      <c r="O85" s="330">
        <v>698</v>
      </c>
      <c r="P85" s="330">
        <v>8.86</v>
      </c>
      <c r="Q85" s="331">
        <v>1331</v>
      </c>
      <c r="R85" s="330">
        <v>26000</v>
      </c>
      <c r="S85" s="330">
        <v>3800</v>
      </c>
      <c r="T85" s="326" t="s">
        <v>170</v>
      </c>
      <c r="U85" s="326" t="s">
        <v>2040</v>
      </c>
      <c r="V85" s="332">
        <v>13320</v>
      </c>
      <c r="W85" s="333">
        <v>13365</v>
      </c>
    </row>
    <row r="86" spans="1:23" ht="45" customHeight="1" x14ac:dyDescent="0.4">
      <c r="A86" s="323">
        <v>134101</v>
      </c>
      <c r="B86" s="324" t="s">
        <v>4085</v>
      </c>
      <c r="C86" s="325" t="s">
        <v>494</v>
      </c>
      <c r="D86" s="326" t="s">
        <v>2045</v>
      </c>
      <c r="E86" s="327" t="s">
        <v>495</v>
      </c>
      <c r="F86" s="327"/>
      <c r="G86" s="327" t="s">
        <v>496</v>
      </c>
      <c r="H86" s="325" t="s">
        <v>2169</v>
      </c>
      <c r="I86" s="325" t="s">
        <v>228</v>
      </c>
      <c r="J86" s="328">
        <v>13</v>
      </c>
      <c r="K86" s="329">
        <v>1341</v>
      </c>
      <c r="L86" s="325" t="s">
        <v>2170</v>
      </c>
      <c r="M86" s="326" t="s">
        <v>2076</v>
      </c>
      <c r="N86" s="326"/>
      <c r="O86" s="330">
        <v>14955.81</v>
      </c>
      <c r="P86" s="330">
        <v>159.09</v>
      </c>
      <c r="Q86" s="331">
        <v>1341</v>
      </c>
      <c r="R86" s="330">
        <v>100</v>
      </c>
      <c r="S86" s="330">
        <v>1</v>
      </c>
      <c r="T86" s="326" t="s">
        <v>170</v>
      </c>
      <c r="U86" s="326" t="s">
        <v>2040</v>
      </c>
      <c r="V86" s="332">
        <v>13470</v>
      </c>
      <c r="W86" s="333">
        <v>13471</v>
      </c>
    </row>
    <row r="87" spans="1:23" ht="45" customHeight="1" x14ac:dyDescent="0.4">
      <c r="A87" s="323">
        <v>134102</v>
      </c>
      <c r="B87" s="324" t="s">
        <v>4086</v>
      </c>
      <c r="C87" s="325" t="s">
        <v>2171</v>
      </c>
      <c r="D87" s="326" t="s">
        <v>2045</v>
      </c>
      <c r="E87" s="327" t="s">
        <v>498</v>
      </c>
      <c r="F87" s="327"/>
      <c r="G87" s="327" t="s">
        <v>499</v>
      </c>
      <c r="H87" s="325" t="s">
        <v>2169</v>
      </c>
      <c r="I87" s="325" t="s">
        <v>228</v>
      </c>
      <c r="J87" s="328">
        <v>13</v>
      </c>
      <c r="K87" s="329">
        <v>1341</v>
      </c>
      <c r="L87" s="325" t="s">
        <v>2170</v>
      </c>
      <c r="M87" s="326" t="s">
        <v>2076</v>
      </c>
      <c r="N87" s="326"/>
      <c r="O87" s="330">
        <v>14955.81</v>
      </c>
      <c r="P87" s="330">
        <v>159.09</v>
      </c>
      <c r="Q87" s="331">
        <v>1341</v>
      </c>
      <c r="R87" s="330">
        <v>100</v>
      </c>
      <c r="S87" s="330">
        <v>1</v>
      </c>
      <c r="T87" s="326" t="s">
        <v>170</v>
      </c>
      <c r="U87" s="326" t="s">
        <v>2040</v>
      </c>
      <c r="V87" s="332"/>
      <c r="W87" s="333">
        <v>13471</v>
      </c>
    </row>
    <row r="88" spans="1:23" ht="45" customHeight="1" x14ac:dyDescent="0.4">
      <c r="A88" s="323">
        <v>134103</v>
      </c>
      <c r="B88" s="324" t="s">
        <v>4087</v>
      </c>
      <c r="C88" s="325" t="s">
        <v>2172</v>
      </c>
      <c r="D88" s="326" t="s">
        <v>2045</v>
      </c>
      <c r="E88" s="327" t="s">
        <v>3697</v>
      </c>
      <c r="F88" s="327" t="s">
        <v>2173</v>
      </c>
      <c r="G88" s="327" t="s">
        <v>501</v>
      </c>
      <c r="H88" s="325" t="s">
        <v>228</v>
      </c>
      <c r="I88" s="325" t="s">
        <v>228</v>
      </c>
      <c r="J88" s="328">
        <v>13</v>
      </c>
      <c r="K88" s="329">
        <v>1341</v>
      </c>
      <c r="L88" s="325" t="s">
        <v>2170</v>
      </c>
      <c r="M88" s="326" t="s">
        <v>2076</v>
      </c>
      <c r="N88" s="326"/>
      <c r="O88" s="330">
        <v>14955.81</v>
      </c>
      <c r="P88" s="330">
        <v>159.09</v>
      </c>
      <c r="Q88" s="331">
        <v>1341</v>
      </c>
      <c r="R88" s="330">
        <v>100</v>
      </c>
      <c r="S88" s="330">
        <v>1</v>
      </c>
      <c r="T88" s="326" t="s">
        <v>170</v>
      </c>
      <c r="U88" s="326" t="s">
        <v>2040</v>
      </c>
      <c r="V88" s="332">
        <v>13459</v>
      </c>
      <c r="W88" s="333">
        <v>13464</v>
      </c>
    </row>
    <row r="89" spans="1:23" ht="45" customHeight="1" x14ac:dyDescent="0.4">
      <c r="A89" s="323">
        <v>134119</v>
      </c>
      <c r="B89" s="324" t="s">
        <v>4088</v>
      </c>
      <c r="C89" s="325" t="s">
        <v>2174</v>
      </c>
      <c r="D89" s="326" t="s">
        <v>2045</v>
      </c>
      <c r="E89" s="327" t="s">
        <v>503</v>
      </c>
      <c r="F89" s="327" t="s">
        <v>3796</v>
      </c>
      <c r="G89" s="327" t="s">
        <v>504</v>
      </c>
      <c r="H89" s="325" t="s">
        <v>2143</v>
      </c>
      <c r="I89" s="325" t="s">
        <v>2175</v>
      </c>
      <c r="J89" s="328">
        <v>13</v>
      </c>
      <c r="K89" s="329">
        <v>1341</v>
      </c>
      <c r="L89" s="325" t="s">
        <v>2170</v>
      </c>
      <c r="M89" s="326" t="s">
        <v>2076</v>
      </c>
      <c r="N89" s="326"/>
      <c r="O89" s="330">
        <v>14955.81</v>
      </c>
      <c r="P89" s="330">
        <v>159.09</v>
      </c>
      <c r="Q89" s="331">
        <v>1341</v>
      </c>
      <c r="R89" s="330">
        <v>100</v>
      </c>
      <c r="S89" s="330">
        <v>1</v>
      </c>
      <c r="T89" s="326" t="s">
        <v>170</v>
      </c>
      <c r="U89" s="326" t="s">
        <v>2040</v>
      </c>
      <c r="V89" s="332">
        <v>13458</v>
      </c>
      <c r="W89" s="333"/>
    </row>
    <row r="90" spans="1:23" ht="45" customHeight="1" x14ac:dyDescent="0.4">
      <c r="A90" s="323">
        <v>134335</v>
      </c>
      <c r="B90" s="324" t="s">
        <v>4089</v>
      </c>
      <c r="C90" s="325" t="s">
        <v>2176</v>
      </c>
      <c r="D90" s="326" t="s">
        <v>2045</v>
      </c>
      <c r="E90" s="327" t="s">
        <v>506</v>
      </c>
      <c r="F90" s="327" t="s">
        <v>4090</v>
      </c>
      <c r="G90" s="327" t="s">
        <v>507</v>
      </c>
      <c r="H90" s="325" t="s">
        <v>2143</v>
      </c>
      <c r="I90" s="325" t="s">
        <v>2175</v>
      </c>
      <c r="J90" s="328">
        <v>13</v>
      </c>
      <c r="K90" s="329">
        <v>1341</v>
      </c>
      <c r="L90" s="325" t="s">
        <v>2170</v>
      </c>
      <c r="M90" s="326" t="s">
        <v>2076</v>
      </c>
      <c r="N90" s="326"/>
      <c r="O90" s="330">
        <v>14955.81</v>
      </c>
      <c r="P90" s="330">
        <v>159.09</v>
      </c>
      <c r="Q90" s="331">
        <v>1341</v>
      </c>
      <c r="R90" s="330">
        <v>100</v>
      </c>
      <c r="S90" s="330">
        <v>1</v>
      </c>
      <c r="T90" s="326" t="s">
        <v>170</v>
      </c>
      <c r="U90" s="326" t="s">
        <v>2040</v>
      </c>
      <c r="V90" s="332">
        <v>13430</v>
      </c>
      <c r="W90" s="333">
        <v>13440</v>
      </c>
    </row>
    <row r="91" spans="1:23" ht="45" customHeight="1" x14ac:dyDescent="0.4">
      <c r="A91" s="323">
        <v>134336</v>
      </c>
      <c r="B91" s="324" t="s">
        <v>4091</v>
      </c>
      <c r="C91" s="325" t="s">
        <v>2177</v>
      </c>
      <c r="D91" s="326" t="s">
        <v>2084</v>
      </c>
      <c r="E91" s="327" t="s">
        <v>4092</v>
      </c>
      <c r="F91" s="327"/>
      <c r="G91" s="327" t="s">
        <v>509</v>
      </c>
      <c r="H91" s="325" t="s">
        <v>2143</v>
      </c>
      <c r="I91" s="325" t="s">
        <v>2175</v>
      </c>
      <c r="J91" s="328">
        <v>13</v>
      </c>
      <c r="K91" s="329">
        <v>1331</v>
      </c>
      <c r="L91" s="325" t="s">
        <v>2165</v>
      </c>
      <c r="M91" s="326" t="s">
        <v>226</v>
      </c>
      <c r="N91" s="326"/>
      <c r="O91" s="330">
        <v>698</v>
      </c>
      <c r="P91" s="330">
        <v>8.86</v>
      </c>
      <c r="Q91" s="331">
        <v>1331</v>
      </c>
      <c r="R91" s="330">
        <v>26000</v>
      </c>
      <c r="S91" s="330">
        <v>3800</v>
      </c>
      <c r="T91" s="326" t="s">
        <v>170</v>
      </c>
      <c r="U91" s="326" t="s">
        <v>2040</v>
      </c>
      <c r="V91" s="332">
        <v>13320</v>
      </c>
      <c r="W91" s="333">
        <v>13365</v>
      </c>
    </row>
    <row r="92" spans="1:23" ht="45" customHeight="1" x14ac:dyDescent="0.4">
      <c r="A92" s="323">
        <v>134338</v>
      </c>
      <c r="B92" s="324" t="s">
        <v>4093</v>
      </c>
      <c r="C92" s="325" t="s">
        <v>2178</v>
      </c>
      <c r="D92" s="326" t="s">
        <v>2045</v>
      </c>
      <c r="E92" s="327" t="s">
        <v>511</v>
      </c>
      <c r="F92" s="327"/>
      <c r="G92" s="327" t="s">
        <v>512</v>
      </c>
      <c r="H92" s="325" t="s">
        <v>2143</v>
      </c>
      <c r="I92" s="325" t="s">
        <v>2175</v>
      </c>
      <c r="J92" s="328">
        <v>89</v>
      </c>
      <c r="K92" s="329">
        <v>8927</v>
      </c>
      <c r="L92" s="325" t="s">
        <v>2179</v>
      </c>
      <c r="M92" s="326" t="s">
        <v>2076</v>
      </c>
      <c r="N92" s="326"/>
      <c r="O92" s="330">
        <v>32240.25</v>
      </c>
      <c r="P92" s="330">
        <v>252.36</v>
      </c>
      <c r="Q92" s="331">
        <v>8927</v>
      </c>
      <c r="R92" s="330">
        <v>200</v>
      </c>
      <c r="S92" s="330">
        <v>3</v>
      </c>
      <c r="T92" s="326" t="s">
        <v>170</v>
      </c>
      <c r="U92" s="326" t="s">
        <v>2040</v>
      </c>
      <c r="V92" s="332">
        <v>13252</v>
      </c>
      <c r="W92" s="333">
        <v>89018</v>
      </c>
    </row>
    <row r="93" spans="1:23" ht="45" customHeight="1" x14ac:dyDescent="0.4">
      <c r="A93" s="323">
        <v>134341</v>
      </c>
      <c r="B93" s="324" t="s">
        <v>4094</v>
      </c>
      <c r="C93" s="325" t="s">
        <v>2180</v>
      </c>
      <c r="D93" s="326" t="s">
        <v>2084</v>
      </c>
      <c r="E93" s="327" t="s">
        <v>514</v>
      </c>
      <c r="F93" s="327"/>
      <c r="G93" s="327" t="s">
        <v>515</v>
      </c>
      <c r="H93" s="325" t="s">
        <v>2143</v>
      </c>
      <c r="I93" s="325" t="s">
        <v>2175</v>
      </c>
      <c r="J93" s="328">
        <v>13</v>
      </c>
      <c r="K93" s="329">
        <v>1331</v>
      </c>
      <c r="L93" s="325" t="s">
        <v>2165</v>
      </c>
      <c r="M93" s="326" t="s">
        <v>226</v>
      </c>
      <c r="N93" s="326"/>
      <c r="O93" s="330">
        <v>698</v>
      </c>
      <c r="P93" s="330">
        <v>8.86</v>
      </c>
      <c r="Q93" s="331">
        <v>1331</v>
      </c>
      <c r="R93" s="330">
        <v>26000</v>
      </c>
      <c r="S93" s="330">
        <v>3800</v>
      </c>
      <c r="T93" s="326" t="s">
        <v>170</v>
      </c>
      <c r="U93" s="326" t="s">
        <v>2040</v>
      </c>
      <c r="V93" s="332">
        <v>13320</v>
      </c>
      <c r="W93" s="333">
        <v>13372</v>
      </c>
    </row>
    <row r="94" spans="1:23" ht="45" customHeight="1" x14ac:dyDescent="0.4">
      <c r="A94" s="323">
        <v>134351</v>
      </c>
      <c r="B94" s="324" t="s">
        <v>4095</v>
      </c>
      <c r="C94" s="325" t="s">
        <v>2181</v>
      </c>
      <c r="D94" s="326" t="s">
        <v>2045</v>
      </c>
      <c r="E94" s="327" t="s">
        <v>517</v>
      </c>
      <c r="F94" s="327"/>
      <c r="G94" s="327" t="s">
        <v>518</v>
      </c>
      <c r="H94" s="325" t="s">
        <v>2143</v>
      </c>
      <c r="I94" s="325" t="s">
        <v>2182</v>
      </c>
      <c r="J94" s="328">
        <v>13</v>
      </c>
      <c r="K94" s="329">
        <v>1341</v>
      </c>
      <c r="L94" s="325" t="s">
        <v>2170</v>
      </c>
      <c r="M94" s="326" t="s">
        <v>2076</v>
      </c>
      <c r="N94" s="326"/>
      <c r="O94" s="330">
        <v>14955.81</v>
      </c>
      <c r="P94" s="330">
        <v>159.09</v>
      </c>
      <c r="Q94" s="331">
        <v>1341</v>
      </c>
      <c r="R94" s="330">
        <v>100</v>
      </c>
      <c r="S94" s="330">
        <v>1</v>
      </c>
      <c r="T94" s="326" t="s">
        <v>170</v>
      </c>
      <c r="U94" s="326" t="s">
        <v>2040</v>
      </c>
      <c r="V94" s="332">
        <v>13440</v>
      </c>
      <c r="W94" s="333">
        <v>13443</v>
      </c>
    </row>
    <row r="95" spans="1:23" ht="45" customHeight="1" x14ac:dyDescent="0.4">
      <c r="A95" s="323">
        <v>134353</v>
      </c>
      <c r="B95" s="324" t="s">
        <v>4096</v>
      </c>
      <c r="C95" s="325" t="s">
        <v>2183</v>
      </c>
      <c r="D95" s="326" t="s">
        <v>2045</v>
      </c>
      <c r="E95" s="327" t="s">
        <v>520</v>
      </c>
      <c r="F95" s="327" t="s">
        <v>3797</v>
      </c>
      <c r="G95" s="327" t="s">
        <v>521</v>
      </c>
      <c r="H95" s="325" t="s">
        <v>2143</v>
      </c>
      <c r="I95" s="325" t="s">
        <v>2182</v>
      </c>
      <c r="J95" s="328">
        <v>13</v>
      </c>
      <c r="K95" s="329">
        <v>1341</v>
      </c>
      <c r="L95" s="325" t="s">
        <v>2170</v>
      </c>
      <c r="M95" s="326" t="s">
        <v>2076</v>
      </c>
      <c r="N95" s="326"/>
      <c r="O95" s="330">
        <v>14955.81</v>
      </c>
      <c r="P95" s="330">
        <v>159.09</v>
      </c>
      <c r="Q95" s="331">
        <v>1341</v>
      </c>
      <c r="R95" s="330">
        <v>100</v>
      </c>
      <c r="S95" s="330">
        <v>1</v>
      </c>
      <c r="T95" s="326" t="s">
        <v>170</v>
      </c>
      <c r="U95" s="326" t="s">
        <v>2040</v>
      </c>
      <c r="V95" s="332">
        <v>13440</v>
      </c>
      <c r="W95" s="333">
        <v>13443</v>
      </c>
    </row>
    <row r="96" spans="1:23" ht="45" customHeight="1" x14ac:dyDescent="0.4">
      <c r="A96" s="323">
        <v>134355</v>
      </c>
      <c r="B96" s="324" t="s">
        <v>4097</v>
      </c>
      <c r="C96" s="325" t="s">
        <v>523</v>
      </c>
      <c r="D96" s="326" t="s">
        <v>2045</v>
      </c>
      <c r="E96" s="327" t="s">
        <v>524</v>
      </c>
      <c r="F96" s="327" t="s">
        <v>2184</v>
      </c>
      <c r="G96" s="327" t="s">
        <v>525</v>
      </c>
      <c r="H96" s="325" t="s">
        <v>2143</v>
      </c>
      <c r="I96" s="325" t="s">
        <v>2182</v>
      </c>
      <c r="J96" s="328">
        <v>13</v>
      </c>
      <c r="K96" s="329">
        <v>1341</v>
      </c>
      <c r="L96" s="325" t="s">
        <v>2170</v>
      </c>
      <c r="M96" s="326" t="s">
        <v>2076</v>
      </c>
      <c r="N96" s="326"/>
      <c r="O96" s="330">
        <v>14955.81</v>
      </c>
      <c r="P96" s="330">
        <v>159.09</v>
      </c>
      <c r="Q96" s="331">
        <v>1341</v>
      </c>
      <c r="R96" s="330">
        <v>100</v>
      </c>
      <c r="S96" s="330">
        <v>1</v>
      </c>
      <c r="T96" s="326" t="s">
        <v>170</v>
      </c>
      <c r="U96" s="326" t="s">
        <v>2040</v>
      </c>
      <c r="V96" s="332">
        <v>13410</v>
      </c>
      <c r="W96" s="333">
        <v>13460</v>
      </c>
    </row>
    <row r="97" spans="1:23" ht="45" customHeight="1" x14ac:dyDescent="0.4">
      <c r="A97" s="323">
        <v>134373</v>
      </c>
      <c r="B97" s="324" t="s">
        <v>4098</v>
      </c>
      <c r="C97" s="325" t="s">
        <v>2185</v>
      </c>
      <c r="D97" s="326" t="s">
        <v>2045</v>
      </c>
      <c r="E97" s="327" t="s">
        <v>527</v>
      </c>
      <c r="F97" s="327"/>
      <c r="G97" s="327" t="s">
        <v>528</v>
      </c>
      <c r="H97" s="325" t="s">
        <v>2143</v>
      </c>
      <c r="I97" s="325" t="s">
        <v>2182</v>
      </c>
      <c r="J97" s="328">
        <v>13</v>
      </c>
      <c r="K97" s="329">
        <v>1341</v>
      </c>
      <c r="L97" s="325" t="s">
        <v>2170</v>
      </c>
      <c r="M97" s="326" t="s">
        <v>2076</v>
      </c>
      <c r="N97" s="326"/>
      <c r="O97" s="330">
        <v>14955.81</v>
      </c>
      <c r="P97" s="330">
        <v>159.09</v>
      </c>
      <c r="Q97" s="331">
        <v>1341</v>
      </c>
      <c r="R97" s="330">
        <v>100</v>
      </c>
      <c r="S97" s="330">
        <v>1</v>
      </c>
      <c r="T97" s="326" t="s">
        <v>170</v>
      </c>
      <c r="U97" s="326" t="s">
        <v>2040</v>
      </c>
      <c r="V97" s="332"/>
      <c r="W97" s="333">
        <v>13470</v>
      </c>
    </row>
    <row r="98" spans="1:23" ht="45" customHeight="1" x14ac:dyDescent="0.4">
      <c r="A98" s="323">
        <v>134374</v>
      </c>
      <c r="B98" s="324" t="s">
        <v>4099</v>
      </c>
      <c r="C98" s="325" t="s">
        <v>2052</v>
      </c>
      <c r="D98" s="326" t="s">
        <v>2045</v>
      </c>
      <c r="E98" s="327" t="s">
        <v>530</v>
      </c>
      <c r="F98" s="327" t="s">
        <v>3798</v>
      </c>
      <c r="G98" s="327" t="s">
        <v>531</v>
      </c>
      <c r="H98" s="325" t="s">
        <v>2143</v>
      </c>
      <c r="I98" s="325" t="s">
        <v>2182</v>
      </c>
      <c r="J98" s="328">
        <v>13</v>
      </c>
      <c r="K98" s="329">
        <v>1341</v>
      </c>
      <c r="L98" s="325" t="s">
        <v>2170</v>
      </c>
      <c r="M98" s="326" t="s">
        <v>2076</v>
      </c>
      <c r="N98" s="326"/>
      <c r="O98" s="330">
        <v>14955.81</v>
      </c>
      <c r="P98" s="330">
        <v>159.09</v>
      </c>
      <c r="Q98" s="331">
        <v>1341</v>
      </c>
      <c r="R98" s="330">
        <v>100</v>
      </c>
      <c r="S98" s="330">
        <v>1</v>
      </c>
      <c r="T98" s="326" t="s">
        <v>170</v>
      </c>
      <c r="U98" s="326" t="s">
        <v>2040</v>
      </c>
      <c r="V98" s="332"/>
      <c r="W98" s="333">
        <v>13441</v>
      </c>
    </row>
    <row r="99" spans="1:23" ht="45" customHeight="1" x14ac:dyDescent="0.4">
      <c r="A99" s="323">
        <v>134375</v>
      </c>
      <c r="B99" s="324" t="s">
        <v>4100</v>
      </c>
      <c r="C99" s="325" t="s">
        <v>2186</v>
      </c>
      <c r="D99" s="326" t="s">
        <v>2084</v>
      </c>
      <c r="E99" s="327" t="s">
        <v>4101</v>
      </c>
      <c r="F99" s="327" t="s">
        <v>3799</v>
      </c>
      <c r="G99" s="327" t="s">
        <v>533</v>
      </c>
      <c r="H99" s="325" t="s">
        <v>2143</v>
      </c>
      <c r="I99" s="325" t="s">
        <v>2182</v>
      </c>
      <c r="J99" s="328">
        <v>13</v>
      </c>
      <c r="K99" s="329">
        <v>1331</v>
      </c>
      <c r="L99" s="325" t="s">
        <v>2165</v>
      </c>
      <c r="M99" s="326" t="s">
        <v>226</v>
      </c>
      <c r="N99" s="326"/>
      <c r="O99" s="330">
        <v>698</v>
      </c>
      <c r="P99" s="330">
        <v>8.86</v>
      </c>
      <c r="Q99" s="331">
        <v>1331</v>
      </c>
      <c r="R99" s="330">
        <v>26000</v>
      </c>
      <c r="S99" s="330">
        <v>3800</v>
      </c>
      <c r="T99" s="326" t="s">
        <v>170</v>
      </c>
      <c r="U99" s="326" t="s">
        <v>2040</v>
      </c>
      <c r="V99" s="332">
        <v>13320</v>
      </c>
      <c r="W99" s="333">
        <v>13365</v>
      </c>
    </row>
    <row r="100" spans="1:23" ht="45" customHeight="1" x14ac:dyDescent="0.4">
      <c r="A100" s="323">
        <v>134376</v>
      </c>
      <c r="B100" s="324" t="s">
        <v>4102</v>
      </c>
      <c r="C100" s="325" t="s">
        <v>2187</v>
      </c>
      <c r="D100" s="326" t="s">
        <v>2045</v>
      </c>
      <c r="E100" s="327" t="s">
        <v>535</v>
      </c>
      <c r="F100" s="327"/>
      <c r="G100" s="327" t="s">
        <v>536</v>
      </c>
      <c r="H100" s="325" t="s">
        <v>2143</v>
      </c>
      <c r="I100" s="325" t="s">
        <v>2182</v>
      </c>
      <c r="J100" s="328">
        <v>13</v>
      </c>
      <c r="K100" s="329">
        <v>1341</v>
      </c>
      <c r="L100" s="325" t="s">
        <v>2170</v>
      </c>
      <c r="M100" s="326" t="s">
        <v>2076</v>
      </c>
      <c r="N100" s="326"/>
      <c r="O100" s="330">
        <v>14955.81</v>
      </c>
      <c r="P100" s="330">
        <v>159.09</v>
      </c>
      <c r="Q100" s="331">
        <v>1341</v>
      </c>
      <c r="R100" s="330">
        <v>100</v>
      </c>
      <c r="S100" s="330">
        <v>1</v>
      </c>
      <c r="T100" s="326" t="s">
        <v>170</v>
      </c>
      <c r="U100" s="326" t="s">
        <v>2040</v>
      </c>
      <c r="V100" s="332"/>
      <c r="W100" s="333"/>
    </row>
    <row r="101" spans="1:23" ht="45" customHeight="1" x14ac:dyDescent="0.4">
      <c r="A101" s="323">
        <v>134422</v>
      </c>
      <c r="B101" s="324" t="s">
        <v>4103</v>
      </c>
      <c r="C101" s="325" t="s">
        <v>2188</v>
      </c>
      <c r="D101" s="326" t="s">
        <v>2045</v>
      </c>
      <c r="E101" s="327" t="s">
        <v>538</v>
      </c>
      <c r="F101" s="327"/>
      <c r="G101" s="327" t="s">
        <v>539</v>
      </c>
      <c r="H101" s="325" t="s">
        <v>2143</v>
      </c>
      <c r="I101" s="325" t="s">
        <v>2182</v>
      </c>
      <c r="J101" s="328">
        <v>13</v>
      </c>
      <c r="K101" s="329">
        <v>1341</v>
      </c>
      <c r="L101" s="325" t="s">
        <v>2170</v>
      </c>
      <c r="M101" s="326" t="s">
        <v>2076</v>
      </c>
      <c r="N101" s="326"/>
      <c r="O101" s="330">
        <v>14955.81</v>
      </c>
      <c r="P101" s="330">
        <v>159.09</v>
      </c>
      <c r="Q101" s="331">
        <v>1341</v>
      </c>
      <c r="R101" s="330">
        <v>100</v>
      </c>
      <c r="S101" s="330">
        <v>1</v>
      </c>
      <c r="T101" s="326" t="s">
        <v>170</v>
      </c>
      <c r="U101" s="326" t="s">
        <v>2040</v>
      </c>
      <c r="V101" s="332">
        <v>13410</v>
      </c>
      <c r="W101" s="333">
        <v>13420</v>
      </c>
    </row>
    <row r="102" spans="1:23" ht="45" customHeight="1" x14ac:dyDescent="0.4">
      <c r="A102" s="323">
        <v>134465</v>
      </c>
      <c r="B102" s="324" t="s">
        <v>4104</v>
      </c>
      <c r="C102" s="325" t="s">
        <v>2189</v>
      </c>
      <c r="D102" s="326" t="s">
        <v>2045</v>
      </c>
      <c r="E102" s="327" t="s">
        <v>541</v>
      </c>
      <c r="F102" s="327" t="s">
        <v>2190</v>
      </c>
      <c r="G102" s="327" t="s">
        <v>542</v>
      </c>
      <c r="H102" s="325" t="s">
        <v>2143</v>
      </c>
      <c r="I102" s="325" t="s">
        <v>2182</v>
      </c>
      <c r="J102" s="328">
        <v>13</v>
      </c>
      <c r="K102" s="329">
        <v>1341</v>
      </c>
      <c r="L102" s="325" t="s">
        <v>2170</v>
      </c>
      <c r="M102" s="326" t="s">
        <v>2076</v>
      </c>
      <c r="N102" s="326"/>
      <c r="O102" s="330">
        <v>14955.81</v>
      </c>
      <c r="P102" s="330">
        <v>159.09</v>
      </c>
      <c r="Q102" s="331">
        <v>1341</v>
      </c>
      <c r="R102" s="330">
        <v>100</v>
      </c>
      <c r="S102" s="330">
        <v>1</v>
      </c>
      <c r="T102" s="326" t="s">
        <v>170</v>
      </c>
      <c r="U102" s="326" t="s">
        <v>2040</v>
      </c>
      <c r="V102" s="332"/>
      <c r="W102" s="333" t="s">
        <v>2191</v>
      </c>
    </row>
    <row r="103" spans="1:23" ht="45" customHeight="1" x14ac:dyDescent="0.4">
      <c r="A103" s="323">
        <v>134473</v>
      </c>
      <c r="B103" s="324" t="s">
        <v>4105</v>
      </c>
      <c r="C103" s="325" t="s">
        <v>2192</v>
      </c>
      <c r="D103" s="326" t="s">
        <v>2045</v>
      </c>
      <c r="E103" s="327" t="s">
        <v>544</v>
      </c>
      <c r="F103" s="327"/>
      <c r="G103" s="327" t="s">
        <v>545</v>
      </c>
      <c r="H103" s="325" t="s">
        <v>2143</v>
      </c>
      <c r="I103" s="325" t="s">
        <v>2182</v>
      </c>
      <c r="J103" s="328">
        <v>13</v>
      </c>
      <c r="K103" s="329">
        <v>1341</v>
      </c>
      <c r="L103" s="325" t="s">
        <v>2170</v>
      </c>
      <c r="M103" s="326" t="s">
        <v>2076</v>
      </c>
      <c r="N103" s="326"/>
      <c r="O103" s="330">
        <v>14955.81</v>
      </c>
      <c r="P103" s="330">
        <v>159.09</v>
      </c>
      <c r="Q103" s="331">
        <v>1341</v>
      </c>
      <c r="R103" s="330">
        <v>100</v>
      </c>
      <c r="S103" s="330">
        <v>1</v>
      </c>
      <c r="T103" s="326" t="s">
        <v>170</v>
      </c>
      <c r="U103" s="326" t="s">
        <v>2040</v>
      </c>
      <c r="V103" s="332"/>
      <c r="W103" s="333">
        <v>13410</v>
      </c>
    </row>
    <row r="104" spans="1:23" ht="45" customHeight="1" x14ac:dyDescent="0.4">
      <c r="A104" s="323">
        <v>134482</v>
      </c>
      <c r="B104" s="324" t="s">
        <v>4106</v>
      </c>
      <c r="C104" s="325" t="s">
        <v>2193</v>
      </c>
      <c r="D104" s="326" t="s">
        <v>2045</v>
      </c>
      <c r="E104" s="327" t="s">
        <v>547</v>
      </c>
      <c r="F104" s="327" t="s">
        <v>3800</v>
      </c>
      <c r="G104" s="327" t="s">
        <v>548</v>
      </c>
      <c r="H104" s="325" t="s">
        <v>2143</v>
      </c>
      <c r="I104" s="325" t="s">
        <v>2182</v>
      </c>
      <c r="J104" s="328">
        <v>13</v>
      </c>
      <c r="K104" s="329">
        <v>1341</v>
      </c>
      <c r="L104" s="325" t="s">
        <v>2170</v>
      </c>
      <c r="M104" s="326" t="s">
        <v>2076</v>
      </c>
      <c r="N104" s="326"/>
      <c r="O104" s="330">
        <v>14955.81</v>
      </c>
      <c r="P104" s="330">
        <v>159.09</v>
      </c>
      <c r="Q104" s="331">
        <v>1341</v>
      </c>
      <c r="R104" s="330">
        <v>100</v>
      </c>
      <c r="S104" s="330">
        <v>1</v>
      </c>
      <c r="T104" s="326" t="s">
        <v>170</v>
      </c>
      <c r="U104" s="326" t="s">
        <v>2040</v>
      </c>
      <c r="V104" s="332"/>
      <c r="W104" s="333"/>
    </row>
    <row r="105" spans="1:23" ht="45" customHeight="1" x14ac:dyDescent="0.4">
      <c r="A105" s="323">
        <v>134484</v>
      </c>
      <c r="B105" s="324" t="s">
        <v>4107</v>
      </c>
      <c r="C105" s="325" t="s">
        <v>2194</v>
      </c>
      <c r="D105" s="326" t="s">
        <v>2045</v>
      </c>
      <c r="E105" s="327" t="s">
        <v>4108</v>
      </c>
      <c r="F105" s="327"/>
      <c r="G105" s="327" t="s">
        <v>550</v>
      </c>
      <c r="H105" s="325" t="s">
        <v>2143</v>
      </c>
      <c r="I105" s="325" t="s">
        <v>2182</v>
      </c>
      <c r="J105" s="328">
        <v>13</v>
      </c>
      <c r="K105" s="329">
        <v>1341</v>
      </c>
      <c r="L105" s="325" t="s">
        <v>2170</v>
      </c>
      <c r="M105" s="326" t="s">
        <v>2076</v>
      </c>
      <c r="N105" s="326"/>
      <c r="O105" s="330">
        <v>14955.81</v>
      </c>
      <c r="P105" s="330">
        <v>159.09</v>
      </c>
      <c r="Q105" s="331">
        <v>1341</v>
      </c>
      <c r="R105" s="330">
        <v>100</v>
      </c>
      <c r="S105" s="330">
        <v>1</v>
      </c>
      <c r="T105" s="326" t="s">
        <v>170</v>
      </c>
      <c r="U105" s="326" t="s">
        <v>2040</v>
      </c>
      <c r="V105" s="332"/>
      <c r="W105" s="333"/>
    </row>
    <row r="106" spans="1:23" ht="45" customHeight="1" x14ac:dyDescent="0.4">
      <c r="A106" s="323">
        <v>134511</v>
      </c>
      <c r="B106" s="324" t="s">
        <v>4109</v>
      </c>
      <c r="C106" s="325" t="s">
        <v>2195</v>
      </c>
      <c r="D106" s="326" t="s">
        <v>2045</v>
      </c>
      <c r="E106" s="327" t="s">
        <v>552</v>
      </c>
      <c r="F106" s="327"/>
      <c r="G106" s="327" t="s">
        <v>548</v>
      </c>
      <c r="H106" s="325" t="s">
        <v>2143</v>
      </c>
      <c r="I106" s="325" t="s">
        <v>2182</v>
      </c>
      <c r="J106" s="328">
        <v>13</v>
      </c>
      <c r="K106" s="329">
        <v>1341</v>
      </c>
      <c r="L106" s="325" t="s">
        <v>2170</v>
      </c>
      <c r="M106" s="326" t="s">
        <v>2076</v>
      </c>
      <c r="N106" s="326"/>
      <c r="O106" s="330">
        <v>14955.81</v>
      </c>
      <c r="P106" s="330">
        <v>159.09</v>
      </c>
      <c r="Q106" s="331">
        <v>1341</v>
      </c>
      <c r="R106" s="330">
        <v>100</v>
      </c>
      <c r="S106" s="330">
        <v>1</v>
      </c>
      <c r="T106" s="326" t="s">
        <v>170</v>
      </c>
      <c r="U106" s="326" t="s">
        <v>2040</v>
      </c>
      <c r="V106" s="332">
        <v>13410</v>
      </c>
      <c r="W106" s="333">
        <v>13466</v>
      </c>
    </row>
    <row r="107" spans="1:23" ht="45" customHeight="1" x14ac:dyDescent="0.4">
      <c r="A107" s="323">
        <v>134678</v>
      </c>
      <c r="B107" s="324" t="s">
        <v>4110</v>
      </c>
      <c r="C107" s="325" t="s">
        <v>2196</v>
      </c>
      <c r="D107" s="326" t="s">
        <v>2045</v>
      </c>
      <c r="E107" s="327" t="s">
        <v>554</v>
      </c>
      <c r="F107" s="327"/>
      <c r="G107" s="327" t="s">
        <v>555</v>
      </c>
      <c r="H107" s="325" t="s">
        <v>2143</v>
      </c>
      <c r="I107" s="325" t="s">
        <v>2197</v>
      </c>
      <c r="J107" s="328">
        <v>13</v>
      </c>
      <c r="K107" s="329">
        <v>1341</v>
      </c>
      <c r="L107" s="325" t="s">
        <v>2170</v>
      </c>
      <c r="M107" s="326" t="s">
        <v>2076</v>
      </c>
      <c r="N107" s="326"/>
      <c r="O107" s="330">
        <v>14955.81</v>
      </c>
      <c r="P107" s="330">
        <v>159.09</v>
      </c>
      <c r="Q107" s="331">
        <v>1341</v>
      </c>
      <c r="R107" s="330">
        <v>100</v>
      </c>
      <c r="S107" s="330">
        <v>1</v>
      </c>
      <c r="T107" s="326" t="s">
        <v>170</v>
      </c>
      <c r="U107" s="326" t="s">
        <v>2040</v>
      </c>
      <c r="V107" s="332">
        <v>13470</v>
      </c>
      <c r="W107" s="333">
        <v>13462</v>
      </c>
    </row>
    <row r="108" spans="1:23" ht="45" customHeight="1" x14ac:dyDescent="0.4">
      <c r="A108" s="323">
        <v>135583</v>
      </c>
      <c r="B108" s="324" t="s">
        <v>4111</v>
      </c>
      <c r="C108" s="325" t="s">
        <v>2198</v>
      </c>
      <c r="D108" s="326" t="s">
        <v>2034</v>
      </c>
      <c r="E108" s="327" t="s">
        <v>557</v>
      </c>
      <c r="F108" s="327"/>
      <c r="G108" s="327" t="s">
        <v>558</v>
      </c>
      <c r="H108" s="325" t="s">
        <v>2136</v>
      </c>
      <c r="I108" s="325" t="s">
        <v>2199</v>
      </c>
      <c r="J108" s="328">
        <v>13</v>
      </c>
      <c r="K108" s="329">
        <v>1351</v>
      </c>
      <c r="L108" s="325" t="s">
        <v>2200</v>
      </c>
      <c r="M108" s="326" t="s">
        <v>2201</v>
      </c>
      <c r="N108" s="326"/>
      <c r="O108" s="330">
        <v>268918.39</v>
      </c>
      <c r="P108" s="330">
        <v>538.37</v>
      </c>
      <c r="Q108" s="331">
        <v>1351</v>
      </c>
      <c r="R108" s="330">
        <v>1000</v>
      </c>
      <c r="S108" s="330">
        <v>19</v>
      </c>
      <c r="T108" s="326" t="s">
        <v>170</v>
      </c>
      <c r="U108" s="326" t="s">
        <v>2040</v>
      </c>
      <c r="V108" s="332">
        <v>13510</v>
      </c>
      <c r="W108" s="333">
        <v>13520</v>
      </c>
    </row>
    <row r="109" spans="1:23" ht="45" customHeight="1" x14ac:dyDescent="0.4">
      <c r="A109" s="323">
        <v>135586</v>
      </c>
      <c r="B109" s="324" t="s">
        <v>4112</v>
      </c>
      <c r="C109" s="325" t="s">
        <v>2202</v>
      </c>
      <c r="D109" s="326" t="s">
        <v>2034</v>
      </c>
      <c r="E109" s="327" t="s">
        <v>560</v>
      </c>
      <c r="F109" s="327"/>
      <c r="G109" s="327" t="s">
        <v>561</v>
      </c>
      <c r="H109" s="325" t="s">
        <v>2136</v>
      </c>
      <c r="I109" s="325" t="s">
        <v>2199</v>
      </c>
      <c r="J109" s="328">
        <v>13</v>
      </c>
      <c r="K109" s="329">
        <v>1351</v>
      </c>
      <c r="L109" s="325" t="s">
        <v>2200</v>
      </c>
      <c r="M109" s="326" t="s">
        <v>2201</v>
      </c>
      <c r="N109" s="326"/>
      <c r="O109" s="330">
        <v>268918.39</v>
      </c>
      <c r="P109" s="330">
        <v>538.37</v>
      </c>
      <c r="Q109" s="331">
        <v>1351</v>
      </c>
      <c r="R109" s="330">
        <v>1000</v>
      </c>
      <c r="S109" s="330">
        <v>19</v>
      </c>
      <c r="T109" s="326" t="s">
        <v>170</v>
      </c>
      <c r="U109" s="326" t="s">
        <v>2040</v>
      </c>
      <c r="V109" s="332">
        <v>13511</v>
      </c>
      <c r="W109" s="333">
        <v>13520</v>
      </c>
    </row>
    <row r="110" spans="1:23" ht="45" customHeight="1" x14ac:dyDescent="0.4">
      <c r="A110" s="323">
        <v>136635</v>
      </c>
      <c r="B110" s="324" t="s">
        <v>4113</v>
      </c>
      <c r="C110" s="325" t="s">
        <v>563</v>
      </c>
      <c r="D110" s="326" t="s">
        <v>2045</v>
      </c>
      <c r="E110" s="327" t="s">
        <v>564</v>
      </c>
      <c r="F110" s="327"/>
      <c r="G110" s="327" t="s">
        <v>565</v>
      </c>
      <c r="H110" s="325" t="s">
        <v>2143</v>
      </c>
      <c r="I110" s="325" t="s">
        <v>2182</v>
      </c>
      <c r="J110" s="328">
        <v>13</v>
      </c>
      <c r="K110" s="329">
        <v>1362</v>
      </c>
      <c r="L110" s="325" t="s">
        <v>2203</v>
      </c>
      <c r="M110" s="326" t="s">
        <v>2076</v>
      </c>
      <c r="N110" s="326"/>
      <c r="O110" s="330">
        <v>2465.79</v>
      </c>
      <c r="P110" s="330">
        <v>144.5</v>
      </c>
      <c r="Q110" s="331">
        <v>1362</v>
      </c>
      <c r="R110" s="330">
        <v>650</v>
      </c>
      <c r="S110" s="330">
        <v>20</v>
      </c>
      <c r="T110" s="326" t="s">
        <v>170</v>
      </c>
      <c r="U110" s="326" t="s">
        <v>2040</v>
      </c>
      <c r="V110" s="332"/>
      <c r="W110" s="333">
        <v>13660</v>
      </c>
    </row>
    <row r="111" spans="1:23" ht="45" customHeight="1" x14ac:dyDescent="0.4">
      <c r="A111" s="323">
        <v>136661</v>
      </c>
      <c r="B111" s="324" t="s">
        <v>4114</v>
      </c>
      <c r="C111" s="325" t="s">
        <v>567</v>
      </c>
      <c r="D111" s="326" t="s">
        <v>2045</v>
      </c>
      <c r="E111" s="327" t="s">
        <v>568</v>
      </c>
      <c r="F111" s="327"/>
      <c r="G111" s="327" t="s">
        <v>569</v>
      </c>
      <c r="H111" s="325" t="s">
        <v>2035</v>
      </c>
      <c r="I111" s="325" t="s">
        <v>2036</v>
      </c>
      <c r="J111" s="328">
        <v>13</v>
      </c>
      <c r="K111" s="329">
        <v>1361</v>
      </c>
      <c r="L111" s="325" t="s">
        <v>2204</v>
      </c>
      <c r="M111" s="326" t="s">
        <v>2039</v>
      </c>
      <c r="N111" s="326"/>
      <c r="O111" s="330">
        <v>479.61</v>
      </c>
      <c r="P111" s="330">
        <v>10.8</v>
      </c>
      <c r="Q111" s="331">
        <v>1361</v>
      </c>
      <c r="R111" s="330">
        <v>200000</v>
      </c>
      <c r="S111" s="330">
        <v>6500</v>
      </c>
      <c r="T111" s="326" t="s">
        <v>170</v>
      </c>
      <c r="U111" s="326" t="s">
        <v>2040</v>
      </c>
      <c r="V111" s="332">
        <v>13612</v>
      </c>
      <c r="W111" s="333">
        <v>13610</v>
      </c>
    </row>
    <row r="112" spans="1:23" ht="45" customHeight="1" x14ac:dyDescent="0.4">
      <c r="A112" s="323">
        <v>136662</v>
      </c>
      <c r="B112" s="324" t="s">
        <v>4115</v>
      </c>
      <c r="C112" s="325" t="s">
        <v>2205</v>
      </c>
      <c r="D112" s="326" t="s">
        <v>2045</v>
      </c>
      <c r="E112" s="327" t="s">
        <v>571</v>
      </c>
      <c r="F112" s="327" t="s">
        <v>2206</v>
      </c>
      <c r="G112" s="327" t="s">
        <v>572</v>
      </c>
      <c r="H112" s="325" t="s">
        <v>2035</v>
      </c>
      <c r="I112" s="325" t="s">
        <v>2036</v>
      </c>
      <c r="J112" s="328">
        <v>13</v>
      </c>
      <c r="K112" s="329">
        <v>1362</v>
      </c>
      <c r="L112" s="325" t="s">
        <v>2203</v>
      </c>
      <c r="M112" s="326" t="s">
        <v>2076</v>
      </c>
      <c r="N112" s="326"/>
      <c r="O112" s="330">
        <v>2465.79</v>
      </c>
      <c r="P112" s="330">
        <v>144.5</v>
      </c>
      <c r="Q112" s="331">
        <v>1362</v>
      </c>
      <c r="R112" s="330">
        <v>650</v>
      </c>
      <c r="S112" s="330">
        <v>20</v>
      </c>
      <c r="T112" s="326" t="s">
        <v>170</v>
      </c>
      <c r="U112" s="326" t="s">
        <v>2040</v>
      </c>
      <c r="V112" s="332"/>
      <c r="W112" s="333">
        <v>13660</v>
      </c>
    </row>
    <row r="113" spans="1:23" ht="45" customHeight="1" x14ac:dyDescent="0.4">
      <c r="A113" s="323">
        <v>136664</v>
      </c>
      <c r="B113" s="324" t="s">
        <v>4116</v>
      </c>
      <c r="C113" s="325" t="s">
        <v>2207</v>
      </c>
      <c r="D113" s="326" t="s">
        <v>2045</v>
      </c>
      <c r="E113" s="327" t="s">
        <v>574</v>
      </c>
      <c r="F113" s="327"/>
      <c r="G113" s="327" t="s">
        <v>575</v>
      </c>
      <c r="H113" s="325" t="s">
        <v>2035</v>
      </c>
      <c r="I113" s="325" t="s">
        <v>2036</v>
      </c>
      <c r="J113" s="328">
        <v>13</v>
      </c>
      <c r="K113" s="329">
        <v>1361</v>
      </c>
      <c r="L113" s="325" t="s">
        <v>2204</v>
      </c>
      <c r="M113" s="326" t="s">
        <v>2039</v>
      </c>
      <c r="N113" s="326"/>
      <c r="O113" s="330">
        <v>479.61</v>
      </c>
      <c r="P113" s="330">
        <v>10.8</v>
      </c>
      <c r="Q113" s="331">
        <v>1361</v>
      </c>
      <c r="R113" s="330">
        <v>200000</v>
      </c>
      <c r="S113" s="330">
        <v>6500</v>
      </c>
      <c r="T113" s="326" t="s">
        <v>170</v>
      </c>
      <c r="U113" s="326" t="s">
        <v>2040</v>
      </c>
      <c r="V113" s="332">
        <v>13610</v>
      </c>
      <c r="W113" s="333">
        <v>13635</v>
      </c>
    </row>
    <row r="114" spans="1:23" ht="45" customHeight="1" x14ac:dyDescent="0.4">
      <c r="A114" s="323">
        <v>136666</v>
      </c>
      <c r="B114" s="324" t="s">
        <v>4117</v>
      </c>
      <c r="C114" s="325" t="s">
        <v>2208</v>
      </c>
      <c r="D114" s="326" t="s">
        <v>2045</v>
      </c>
      <c r="E114" s="327" t="s">
        <v>3698</v>
      </c>
      <c r="F114" s="327"/>
      <c r="G114" s="327" t="s">
        <v>577</v>
      </c>
      <c r="H114" s="325" t="s">
        <v>2035</v>
      </c>
      <c r="I114" s="325" t="s">
        <v>2036</v>
      </c>
      <c r="J114" s="328">
        <v>13</v>
      </c>
      <c r="K114" s="329">
        <v>1362</v>
      </c>
      <c r="L114" s="325" t="s">
        <v>2203</v>
      </c>
      <c r="M114" s="326" t="s">
        <v>2076</v>
      </c>
      <c r="N114" s="326"/>
      <c r="O114" s="330">
        <v>2465.79</v>
      </c>
      <c r="P114" s="330">
        <v>144.5</v>
      </c>
      <c r="Q114" s="331">
        <v>1362</v>
      </c>
      <c r="R114" s="330">
        <v>650</v>
      </c>
      <c r="S114" s="330">
        <v>20</v>
      </c>
      <c r="T114" s="326" t="s">
        <v>170</v>
      </c>
      <c r="U114" s="326" t="s">
        <v>2040</v>
      </c>
      <c r="V114" s="332"/>
      <c r="W114" s="333">
        <v>13655</v>
      </c>
    </row>
    <row r="115" spans="1:23" ht="45" customHeight="1" x14ac:dyDescent="0.4">
      <c r="A115" s="323">
        <v>136667</v>
      </c>
      <c r="B115" s="324" t="s">
        <v>4118</v>
      </c>
      <c r="C115" s="325" t="s">
        <v>2209</v>
      </c>
      <c r="D115" s="326" t="s">
        <v>2045</v>
      </c>
      <c r="E115" s="327" t="s">
        <v>579</v>
      </c>
      <c r="F115" s="327"/>
      <c r="G115" s="327" t="s">
        <v>580</v>
      </c>
      <c r="H115" s="325" t="s">
        <v>2035</v>
      </c>
      <c r="I115" s="325" t="s">
        <v>2036</v>
      </c>
      <c r="J115" s="328">
        <v>13</v>
      </c>
      <c r="K115" s="329">
        <v>1361</v>
      </c>
      <c r="L115" s="325" t="s">
        <v>2204</v>
      </c>
      <c r="M115" s="326" t="s">
        <v>2039</v>
      </c>
      <c r="N115" s="326"/>
      <c r="O115" s="330">
        <v>479.61</v>
      </c>
      <c r="P115" s="330">
        <v>10.8</v>
      </c>
      <c r="Q115" s="331">
        <v>1361</v>
      </c>
      <c r="R115" s="330">
        <v>200000</v>
      </c>
      <c r="S115" s="330">
        <v>6500</v>
      </c>
      <c r="T115" s="326" t="s">
        <v>170</v>
      </c>
      <c r="U115" s="326" t="s">
        <v>2040</v>
      </c>
      <c r="V115" s="332">
        <v>13620</v>
      </c>
      <c r="W115" s="333">
        <v>13650</v>
      </c>
    </row>
    <row r="116" spans="1:23" ht="45" customHeight="1" x14ac:dyDescent="0.4">
      <c r="A116" s="323">
        <v>136668</v>
      </c>
      <c r="B116" s="324" t="s">
        <v>4119</v>
      </c>
      <c r="C116" s="325" t="s">
        <v>2210</v>
      </c>
      <c r="D116" s="326" t="s">
        <v>2045</v>
      </c>
      <c r="E116" s="327" t="s">
        <v>582</v>
      </c>
      <c r="F116" s="327" t="s">
        <v>3801</v>
      </c>
      <c r="G116" s="327" t="s">
        <v>583</v>
      </c>
      <c r="H116" s="325" t="s">
        <v>2035</v>
      </c>
      <c r="I116" s="325" t="s">
        <v>2036</v>
      </c>
      <c r="J116" s="328">
        <v>89</v>
      </c>
      <c r="K116" s="329">
        <v>8927</v>
      </c>
      <c r="L116" s="325" t="s">
        <v>3802</v>
      </c>
      <c r="M116" s="326" t="s">
        <v>2076</v>
      </c>
      <c r="N116" s="326"/>
      <c r="O116" s="330">
        <v>32240.25</v>
      </c>
      <c r="P116" s="330">
        <v>252.36</v>
      </c>
      <c r="Q116" s="331">
        <v>8927</v>
      </c>
      <c r="R116" s="330">
        <v>200</v>
      </c>
      <c r="S116" s="330">
        <v>3</v>
      </c>
      <c r="T116" s="326" t="s">
        <v>170</v>
      </c>
      <c r="U116" s="326" t="s">
        <v>2040</v>
      </c>
      <c r="V116" s="332">
        <v>13252</v>
      </c>
      <c r="W116" s="333">
        <v>89018</v>
      </c>
    </row>
    <row r="117" spans="1:23" ht="45" customHeight="1" x14ac:dyDescent="0.4">
      <c r="A117" s="323">
        <v>137200</v>
      </c>
      <c r="B117" s="324" t="s">
        <v>4120</v>
      </c>
      <c r="C117" s="325" t="s">
        <v>585</v>
      </c>
      <c r="D117" s="326" t="s">
        <v>2084</v>
      </c>
      <c r="E117" s="327" t="s">
        <v>4121</v>
      </c>
      <c r="F117" s="327"/>
      <c r="G117" s="327" t="s">
        <v>383</v>
      </c>
      <c r="H117" s="325"/>
      <c r="I117" s="325"/>
      <c r="J117" s="326">
        <v>13</v>
      </c>
      <c r="K117" s="329">
        <v>1371</v>
      </c>
      <c r="L117" s="325" t="s">
        <v>2211</v>
      </c>
      <c r="M117" s="326" t="s">
        <v>226</v>
      </c>
      <c r="N117" s="326"/>
      <c r="O117" s="330">
        <v>682.76</v>
      </c>
      <c r="P117" s="330">
        <v>6.59</v>
      </c>
      <c r="Q117" s="331">
        <v>1371</v>
      </c>
      <c r="R117" s="330">
        <v>32000</v>
      </c>
      <c r="S117" s="330">
        <v>5000</v>
      </c>
      <c r="T117" s="326" t="s">
        <v>170</v>
      </c>
      <c r="U117" s="326" t="s">
        <v>2040</v>
      </c>
      <c r="V117" s="332"/>
      <c r="W117" s="333"/>
    </row>
    <row r="118" spans="1:23" ht="45" customHeight="1" x14ac:dyDescent="0.4">
      <c r="A118" s="323">
        <v>140421</v>
      </c>
      <c r="B118" s="324" t="s">
        <v>3803</v>
      </c>
      <c r="C118" s="325" t="s">
        <v>2212</v>
      </c>
      <c r="D118" s="326" t="s">
        <v>2084</v>
      </c>
      <c r="E118" s="327" t="s">
        <v>4122</v>
      </c>
      <c r="F118" s="327"/>
      <c r="G118" s="327" t="s">
        <v>587</v>
      </c>
      <c r="H118" s="325" t="e">
        <v>#N/A</v>
      </c>
      <c r="I118" s="325" t="e">
        <v>#N/A</v>
      </c>
      <c r="J118" s="328">
        <v>14</v>
      </c>
      <c r="K118" s="329">
        <v>1404</v>
      </c>
      <c r="L118" s="325" t="s">
        <v>3803</v>
      </c>
      <c r="M118" s="326" t="s">
        <v>226</v>
      </c>
      <c r="N118" s="326"/>
      <c r="O118" s="330">
        <v>692.61</v>
      </c>
      <c r="P118" s="330">
        <v>6.26</v>
      </c>
      <c r="Q118" s="331">
        <v>1404</v>
      </c>
      <c r="R118" s="330">
        <v>100000</v>
      </c>
      <c r="S118" s="330">
        <v>18000</v>
      </c>
      <c r="T118" s="326" t="s">
        <v>170</v>
      </c>
      <c r="U118" s="326" t="s">
        <v>2040</v>
      </c>
      <c r="V118" s="332">
        <v>14161</v>
      </c>
      <c r="W118" s="333">
        <v>14380</v>
      </c>
    </row>
    <row r="119" spans="1:23" ht="45" customHeight="1" x14ac:dyDescent="0.4">
      <c r="A119" s="323">
        <v>140422</v>
      </c>
      <c r="B119" s="324" t="s">
        <v>589</v>
      </c>
      <c r="C119" s="325" t="s">
        <v>589</v>
      </c>
      <c r="D119" s="326" t="s">
        <v>2084</v>
      </c>
      <c r="E119" s="327" t="s">
        <v>4123</v>
      </c>
      <c r="F119" s="327" t="s">
        <v>2213</v>
      </c>
      <c r="G119" s="327" t="s">
        <v>590</v>
      </c>
      <c r="H119" s="325" t="e">
        <v>#N/A</v>
      </c>
      <c r="I119" s="325" t="e">
        <v>#N/A</v>
      </c>
      <c r="J119" s="328">
        <v>14</v>
      </c>
      <c r="K119" s="329">
        <v>1405</v>
      </c>
      <c r="L119" s="325" t="s">
        <v>3682</v>
      </c>
      <c r="M119" s="326" t="s">
        <v>226</v>
      </c>
      <c r="N119" s="326"/>
      <c r="O119" s="330">
        <v>681.18</v>
      </c>
      <c r="P119" s="330">
        <v>8.6300000000000008</v>
      </c>
      <c r="Q119" s="331">
        <v>1405</v>
      </c>
      <c r="R119" s="330">
        <v>55000</v>
      </c>
      <c r="S119" s="330">
        <v>9000</v>
      </c>
      <c r="T119" s="326" t="s">
        <v>170</v>
      </c>
      <c r="U119" s="326" t="s">
        <v>2040</v>
      </c>
      <c r="V119" s="332" t="s">
        <v>3804</v>
      </c>
      <c r="W119" s="333">
        <v>14380</v>
      </c>
    </row>
    <row r="120" spans="1:23" ht="45" customHeight="1" x14ac:dyDescent="0.4">
      <c r="A120" s="335">
        <v>140423</v>
      </c>
      <c r="B120" s="324" t="s">
        <v>4124</v>
      </c>
      <c r="C120" s="325" t="s">
        <v>4125</v>
      </c>
      <c r="D120" s="326" t="s">
        <v>2084</v>
      </c>
      <c r="E120" s="327" t="s">
        <v>4126</v>
      </c>
      <c r="F120" s="327"/>
      <c r="G120" s="327" t="s">
        <v>383</v>
      </c>
      <c r="H120" s="325" t="e">
        <v>#N/A</v>
      </c>
      <c r="I120" s="325" t="e">
        <v>#N/A</v>
      </c>
      <c r="J120" s="328">
        <v>94</v>
      </c>
      <c r="K120" s="329">
        <v>1405</v>
      </c>
      <c r="L120" s="325" t="s">
        <v>3682</v>
      </c>
      <c r="M120" s="326" t="s">
        <v>226</v>
      </c>
      <c r="N120" s="326"/>
      <c r="O120" s="330">
        <v>681.18</v>
      </c>
      <c r="P120" s="330">
        <v>8.6300000000000008</v>
      </c>
      <c r="Q120" s="331">
        <v>1405</v>
      </c>
      <c r="R120" s="330">
        <v>55000</v>
      </c>
      <c r="S120" s="330">
        <v>9000</v>
      </c>
      <c r="T120" s="326" t="s">
        <v>170</v>
      </c>
      <c r="U120" s="326" t="s">
        <v>2040</v>
      </c>
      <c r="V120" s="332"/>
      <c r="W120" s="333"/>
    </row>
    <row r="121" spans="1:23" ht="45" customHeight="1" x14ac:dyDescent="0.4">
      <c r="A121" s="323">
        <v>141101</v>
      </c>
      <c r="B121" s="324" t="s">
        <v>4127</v>
      </c>
      <c r="C121" s="325" t="s">
        <v>2214</v>
      </c>
      <c r="D121" s="326" t="s">
        <v>2084</v>
      </c>
      <c r="E121" s="327" t="s">
        <v>4128</v>
      </c>
      <c r="F121" s="327"/>
      <c r="G121" s="327" t="s">
        <v>592</v>
      </c>
      <c r="H121" s="325" t="s">
        <v>2133</v>
      </c>
      <c r="I121" s="325" t="s">
        <v>2035</v>
      </c>
      <c r="J121" s="328">
        <v>14</v>
      </c>
      <c r="K121" s="329">
        <v>1411</v>
      </c>
      <c r="L121" s="325" t="s">
        <v>2134</v>
      </c>
      <c r="M121" s="326" t="s">
        <v>226</v>
      </c>
      <c r="N121" s="326"/>
      <c r="O121" s="330">
        <v>657.89</v>
      </c>
      <c r="P121" s="330">
        <v>4.88</v>
      </c>
      <c r="Q121" s="331">
        <v>1411</v>
      </c>
      <c r="R121" s="330">
        <v>36000</v>
      </c>
      <c r="S121" s="330">
        <v>13000</v>
      </c>
      <c r="T121" s="326" t="s">
        <v>170</v>
      </c>
      <c r="U121" s="326" t="s">
        <v>2040</v>
      </c>
      <c r="V121" s="332">
        <v>14111</v>
      </c>
      <c r="W121" s="333" t="s">
        <v>2215</v>
      </c>
    </row>
    <row r="122" spans="1:23" ht="45" customHeight="1" x14ac:dyDescent="0.4">
      <c r="A122" s="323">
        <v>141154</v>
      </c>
      <c r="B122" s="324" t="s">
        <v>4129</v>
      </c>
      <c r="C122" s="325" t="s">
        <v>2216</v>
      </c>
      <c r="D122" s="326" t="s">
        <v>2084</v>
      </c>
      <c r="E122" s="327" t="s">
        <v>594</v>
      </c>
      <c r="F122" s="327"/>
      <c r="G122" s="327" t="s">
        <v>595</v>
      </c>
      <c r="H122" s="325" t="s">
        <v>2036</v>
      </c>
      <c r="I122" s="325" t="s">
        <v>228</v>
      </c>
      <c r="J122" s="328">
        <v>14</v>
      </c>
      <c r="K122" s="329">
        <v>1444</v>
      </c>
      <c r="L122" s="325" t="s">
        <v>2087</v>
      </c>
      <c r="M122" s="326" t="s">
        <v>226</v>
      </c>
      <c r="N122" s="326"/>
      <c r="O122" s="330">
        <v>634</v>
      </c>
      <c r="P122" s="330">
        <v>3.86</v>
      </c>
      <c r="Q122" s="331">
        <v>1444</v>
      </c>
      <c r="R122" s="330">
        <v>190000</v>
      </c>
      <c r="S122" s="330">
        <v>5800</v>
      </c>
      <c r="T122" s="326" t="s">
        <v>170</v>
      </c>
      <c r="U122" s="326" t="s">
        <v>2040</v>
      </c>
      <c r="V122" s="332"/>
      <c r="W122" s="333"/>
    </row>
    <row r="123" spans="1:23" ht="45" customHeight="1" x14ac:dyDescent="0.4">
      <c r="A123" s="323">
        <v>141165</v>
      </c>
      <c r="B123" s="324" t="s">
        <v>4130</v>
      </c>
      <c r="C123" s="325" t="s">
        <v>2217</v>
      </c>
      <c r="D123" s="326" t="s">
        <v>2084</v>
      </c>
      <c r="E123" s="327" t="s">
        <v>597</v>
      </c>
      <c r="F123" s="327"/>
      <c r="G123" s="327" t="s">
        <v>598</v>
      </c>
      <c r="H123" s="325" t="s">
        <v>2218</v>
      </c>
      <c r="I123" s="325" t="s">
        <v>2035</v>
      </c>
      <c r="J123" s="328">
        <v>14</v>
      </c>
      <c r="K123" s="329">
        <v>1444</v>
      </c>
      <c r="L123" s="325" t="s">
        <v>2087</v>
      </c>
      <c r="M123" s="326" t="s">
        <v>226</v>
      </c>
      <c r="N123" s="326"/>
      <c r="O123" s="330">
        <v>634</v>
      </c>
      <c r="P123" s="330">
        <v>3.86</v>
      </c>
      <c r="Q123" s="331">
        <v>1444</v>
      </c>
      <c r="R123" s="330">
        <v>190000</v>
      </c>
      <c r="S123" s="330">
        <v>5800</v>
      </c>
      <c r="T123" s="326" t="s">
        <v>170</v>
      </c>
      <c r="U123" s="326" t="s">
        <v>2040</v>
      </c>
      <c r="V123" s="332">
        <v>14169</v>
      </c>
      <c r="W123" s="333" t="s">
        <v>2219</v>
      </c>
    </row>
    <row r="124" spans="1:23" ht="45" customHeight="1" x14ac:dyDescent="0.4">
      <c r="A124" s="323">
        <v>141175</v>
      </c>
      <c r="B124" s="324" t="s">
        <v>4131</v>
      </c>
      <c r="C124" s="325" t="s">
        <v>2220</v>
      </c>
      <c r="D124" s="326" t="s">
        <v>2084</v>
      </c>
      <c r="E124" s="327" t="s">
        <v>599</v>
      </c>
      <c r="F124" s="327"/>
      <c r="G124" s="327" t="s">
        <v>600</v>
      </c>
      <c r="H124" s="325" t="s">
        <v>2221</v>
      </c>
      <c r="I124" s="325" t="s">
        <v>228</v>
      </c>
      <c r="J124" s="328">
        <v>14</v>
      </c>
      <c r="K124" s="329">
        <v>1457</v>
      </c>
      <c r="L124" s="325" t="s">
        <v>2222</v>
      </c>
      <c r="M124" s="326" t="s">
        <v>226</v>
      </c>
      <c r="N124" s="326"/>
      <c r="O124" s="330">
        <v>811.13</v>
      </c>
      <c r="P124" s="330">
        <v>35.44</v>
      </c>
      <c r="Q124" s="331">
        <v>1457</v>
      </c>
      <c r="R124" s="330">
        <v>22000</v>
      </c>
      <c r="S124" s="330">
        <v>11000</v>
      </c>
      <c r="T124" s="326" t="s">
        <v>170</v>
      </c>
      <c r="U124" s="326" t="s">
        <v>2040</v>
      </c>
      <c r="V124" s="332"/>
      <c r="W124" s="333"/>
    </row>
    <row r="125" spans="1:23" ht="45" customHeight="1" x14ac:dyDescent="0.4">
      <c r="A125" s="323">
        <v>141181</v>
      </c>
      <c r="B125" s="324" t="s">
        <v>4132</v>
      </c>
      <c r="C125" s="325" t="s">
        <v>2223</v>
      </c>
      <c r="D125" s="326" t="s">
        <v>2045</v>
      </c>
      <c r="E125" s="327" t="s">
        <v>4133</v>
      </c>
      <c r="F125" s="327" t="s">
        <v>3816</v>
      </c>
      <c r="G125" s="327" t="s">
        <v>601</v>
      </c>
      <c r="H125" s="325" t="s">
        <v>2036</v>
      </c>
      <c r="I125" s="325" t="s">
        <v>2057</v>
      </c>
      <c r="J125" s="328">
        <v>14</v>
      </c>
      <c r="K125" s="329">
        <v>1466</v>
      </c>
      <c r="L125" s="325" t="s">
        <v>2224</v>
      </c>
      <c r="M125" s="326" t="s">
        <v>226</v>
      </c>
      <c r="N125" s="326"/>
      <c r="O125" s="330">
        <v>418.27</v>
      </c>
      <c r="P125" s="330">
        <v>1.18</v>
      </c>
      <c r="Q125" s="331">
        <v>1466</v>
      </c>
      <c r="R125" s="330">
        <v>55000</v>
      </c>
      <c r="S125" s="330">
        <v>15000</v>
      </c>
      <c r="T125" s="326" t="s">
        <v>170</v>
      </c>
      <c r="U125" s="326" t="s">
        <v>2040</v>
      </c>
      <c r="V125" s="332"/>
      <c r="W125" s="333"/>
    </row>
    <row r="126" spans="1:23" ht="45" customHeight="1" x14ac:dyDescent="0.4">
      <c r="A126" s="323">
        <v>141182</v>
      </c>
      <c r="B126" s="324" t="s">
        <v>4134</v>
      </c>
      <c r="C126" s="325" t="s">
        <v>2225</v>
      </c>
      <c r="D126" s="326" t="s">
        <v>2045</v>
      </c>
      <c r="E126" s="327" t="s">
        <v>602</v>
      </c>
      <c r="F126" s="327" t="s">
        <v>2226</v>
      </c>
      <c r="G126" s="327" t="s">
        <v>603</v>
      </c>
      <c r="H126" s="325" t="s">
        <v>2036</v>
      </c>
      <c r="I126" s="325" t="s">
        <v>2057</v>
      </c>
      <c r="J126" s="328">
        <v>14</v>
      </c>
      <c r="K126" s="329">
        <v>1465</v>
      </c>
      <c r="L126" s="325" t="s">
        <v>2227</v>
      </c>
      <c r="M126" s="326" t="s">
        <v>226</v>
      </c>
      <c r="N126" s="326"/>
      <c r="O126" s="330">
        <v>521.1</v>
      </c>
      <c r="P126" s="330">
        <v>1.46</v>
      </c>
      <c r="Q126" s="331">
        <v>1465</v>
      </c>
      <c r="R126" s="330">
        <v>12000</v>
      </c>
      <c r="S126" s="330">
        <v>10000</v>
      </c>
      <c r="T126" s="326" t="s">
        <v>170</v>
      </c>
      <c r="U126" s="326" t="s">
        <v>2040</v>
      </c>
      <c r="V126" s="332"/>
      <c r="W126" s="333">
        <v>14188</v>
      </c>
    </row>
    <row r="127" spans="1:23" ht="45" customHeight="1" x14ac:dyDescent="0.4">
      <c r="A127" s="323">
        <v>141183</v>
      </c>
      <c r="B127" s="324" t="s">
        <v>4135</v>
      </c>
      <c r="C127" s="325" t="s">
        <v>2228</v>
      </c>
      <c r="D127" s="326" t="s">
        <v>2084</v>
      </c>
      <c r="E127" s="327" t="s">
        <v>604</v>
      </c>
      <c r="F127" s="327"/>
      <c r="G127" s="327" t="s">
        <v>605</v>
      </c>
      <c r="H127" s="325" t="s">
        <v>2036</v>
      </c>
      <c r="I127" s="325" t="s">
        <v>2057</v>
      </c>
      <c r="J127" s="328">
        <v>21</v>
      </c>
      <c r="K127" s="329">
        <v>2111</v>
      </c>
      <c r="L127" s="325" t="s">
        <v>2229</v>
      </c>
      <c r="M127" s="326" t="s">
        <v>226</v>
      </c>
      <c r="N127" s="326"/>
      <c r="O127" s="330">
        <v>741</v>
      </c>
      <c r="P127" s="330">
        <v>4.6399999999999997</v>
      </c>
      <c r="Q127" s="331">
        <v>2111</v>
      </c>
      <c r="R127" s="330">
        <v>200000</v>
      </c>
      <c r="S127" s="330">
        <v>28000</v>
      </c>
      <c r="T127" s="326" t="s">
        <v>170</v>
      </c>
      <c r="U127" s="326" t="s">
        <v>2040</v>
      </c>
      <c r="V127" s="332"/>
      <c r="W127" s="333"/>
    </row>
    <row r="128" spans="1:23" ht="45" customHeight="1" x14ac:dyDescent="0.4">
      <c r="A128" s="323">
        <v>141184</v>
      </c>
      <c r="B128" s="324" t="s">
        <v>4136</v>
      </c>
      <c r="C128" s="325" t="s">
        <v>2230</v>
      </c>
      <c r="D128" s="326" t="s">
        <v>2084</v>
      </c>
      <c r="E128" s="327" t="s">
        <v>606</v>
      </c>
      <c r="F128" s="327" t="s">
        <v>4137</v>
      </c>
      <c r="G128" s="327" t="s">
        <v>607</v>
      </c>
      <c r="H128" s="325" t="s">
        <v>2036</v>
      </c>
      <c r="I128" s="325" t="s">
        <v>2057</v>
      </c>
      <c r="J128" s="328">
        <v>73</v>
      </c>
      <c r="K128" s="329">
        <v>7383</v>
      </c>
      <c r="L128" s="325" t="s">
        <v>2231</v>
      </c>
      <c r="M128" s="326" t="s">
        <v>226</v>
      </c>
      <c r="N128" s="326" t="s">
        <v>2232</v>
      </c>
      <c r="O128" s="330">
        <v>410.48</v>
      </c>
      <c r="P128" s="330">
        <v>6.49</v>
      </c>
      <c r="Q128" s="331">
        <v>7383</v>
      </c>
      <c r="R128" s="330">
        <v>9300</v>
      </c>
      <c r="S128" s="330">
        <v>1100</v>
      </c>
      <c r="T128" s="326" t="s">
        <v>170</v>
      </c>
      <c r="U128" s="326" t="s">
        <v>2040</v>
      </c>
      <c r="V128" s="332">
        <v>73050</v>
      </c>
      <c r="W128" s="333">
        <v>73065</v>
      </c>
    </row>
    <row r="129" spans="1:23" ht="45" customHeight="1" x14ac:dyDescent="0.4">
      <c r="A129" s="323">
        <v>141185</v>
      </c>
      <c r="B129" s="324" t="s">
        <v>4138</v>
      </c>
      <c r="C129" s="325" t="s">
        <v>2233</v>
      </c>
      <c r="D129" s="326" t="s">
        <v>2084</v>
      </c>
      <c r="E129" s="327" t="s">
        <v>608</v>
      </c>
      <c r="F129" s="327"/>
      <c r="G129" s="327" t="s">
        <v>609</v>
      </c>
      <c r="H129" s="325" t="s">
        <v>2057</v>
      </c>
      <c r="I129" s="325" t="s">
        <v>228</v>
      </c>
      <c r="J129" s="328">
        <v>21</v>
      </c>
      <c r="K129" s="329">
        <v>2111</v>
      </c>
      <c r="L129" s="325" t="s">
        <v>2229</v>
      </c>
      <c r="M129" s="326" t="s">
        <v>226</v>
      </c>
      <c r="N129" s="326"/>
      <c r="O129" s="330">
        <v>741</v>
      </c>
      <c r="P129" s="330">
        <v>4.6399999999999997</v>
      </c>
      <c r="Q129" s="331">
        <v>2111</v>
      </c>
      <c r="R129" s="330">
        <v>200000</v>
      </c>
      <c r="S129" s="330">
        <v>28000</v>
      </c>
      <c r="T129" s="326" t="s">
        <v>170</v>
      </c>
      <c r="U129" s="326" t="s">
        <v>2040</v>
      </c>
      <c r="V129" s="332"/>
      <c r="W129" s="333"/>
    </row>
    <row r="130" spans="1:23" ht="45" customHeight="1" x14ac:dyDescent="0.4">
      <c r="A130" s="323">
        <v>141232</v>
      </c>
      <c r="B130" s="324" t="s">
        <v>4139</v>
      </c>
      <c r="C130" s="325" t="s">
        <v>2234</v>
      </c>
      <c r="D130" s="326" t="s">
        <v>2084</v>
      </c>
      <c r="E130" s="327" t="s">
        <v>4140</v>
      </c>
      <c r="F130" s="327"/>
      <c r="G130" s="327" t="s">
        <v>610</v>
      </c>
      <c r="H130" s="325" t="s">
        <v>2036</v>
      </c>
      <c r="I130" s="325" t="s">
        <v>228</v>
      </c>
      <c r="J130" s="328">
        <v>21</v>
      </c>
      <c r="K130" s="329">
        <v>2184</v>
      </c>
      <c r="L130" s="325" t="s">
        <v>3805</v>
      </c>
      <c r="M130" s="326" t="s">
        <v>226</v>
      </c>
      <c r="N130" s="326"/>
      <c r="O130" s="330">
        <v>351.73</v>
      </c>
      <c r="P130" s="330">
        <v>6.08</v>
      </c>
      <c r="Q130" s="331">
        <v>2184</v>
      </c>
      <c r="R130" s="330">
        <v>57000</v>
      </c>
      <c r="S130" s="330">
        <v>12000</v>
      </c>
      <c r="T130" s="326" t="s">
        <v>170</v>
      </c>
      <c r="U130" s="326" t="s">
        <v>2040</v>
      </c>
      <c r="V130" s="332">
        <v>21881</v>
      </c>
      <c r="W130" s="333">
        <v>21175</v>
      </c>
    </row>
    <row r="131" spans="1:23" ht="45" customHeight="1" x14ac:dyDescent="0.4">
      <c r="A131" s="323">
        <v>141383</v>
      </c>
      <c r="B131" s="324" t="s">
        <v>4141</v>
      </c>
      <c r="C131" s="325" t="s">
        <v>2235</v>
      </c>
      <c r="D131" s="326" t="s">
        <v>2084</v>
      </c>
      <c r="E131" s="327" t="s">
        <v>611</v>
      </c>
      <c r="F131" s="327"/>
      <c r="G131" s="336" t="s">
        <v>4142</v>
      </c>
      <c r="H131" s="325" t="s">
        <v>2036</v>
      </c>
      <c r="I131" s="325" t="s">
        <v>2236</v>
      </c>
      <c r="J131" s="328">
        <v>14</v>
      </c>
      <c r="K131" s="329">
        <v>1441</v>
      </c>
      <c r="L131" s="325" t="s">
        <v>2148</v>
      </c>
      <c r="M131" s="326" t="s">
        <v>226</v>
      </c>
      <c r="N131" s="326"/>
      <c r="O131" s="330">
        <v>426.4</v>
      </c>
      <c r="P131" s="330">
        <v>6.47</v>
      </c>
      <c r="Q131" s="331">
        <v>1441</v>
      </c>
      <c r="R131" s="330">
        <v>18000</v>
      </c>
      <c r="S131" s="330">
        <v>3900</v>
      </c>
      <c r="T131" s="326" t="s">
        <v>170</v>
      </c>
      <c r="U131" s="326" t="s">
        <v>2040</v>
      </c>
      <c r="V131" s="332">
        <v>13135</v>
      </c>
      <c r="W131" s="333">
        <v>14160</v>
      </c>
    </row>
    <row r="132" spans="1:23" ht="45" customHeight="1" x14ac:dyDescent="0.4">
      <c r="A132" s="323">
        <v>141385</v>
      </c>
      <c r="B132" s="324" t="s">
        <v>4143</v>
      </c>
      <c r="C132" s="325" t="s">
        <v>2237</v>
      </c>
      <c r="D132" s="326" t="s">
        <v>2084</v>
      </c>
      <c r="E132" s="327" t="s">
        <v>613</v>
      </c>
      <c r="F132" s="327"/>
      <c r="G132" s="327" t="s">
        <v>383</v>
      </c>
      <c r="H132" s="325" t="s">
        <v>2036</v>
      </c>
      <c r="I132" s="325" t="s">
        <v>2236</v>
      </c>
      <c r="J132" s="328">
        <v>14</v>
      </c>
      <c r="K132" s="329">
        <v>1441</v>
      </c>
      <c r="L132" s="325" t="s">
        <v>2148</v>
      </c>
      <c r="M132" s="326" t="s">
        <v>226</v>
      </c>
      <c r="N132" s="326"/>
      <c r="O132" s="330">
        <v>426.4</v>
      </c>
      <c r="P132" s="330">
        <v>6.47</v>
      </c>
      <c r="Q132" s="331">
        <v>1441</v>
      </c>
      <c r="R132" s="330">
        <v>18000</v>
      </c>
      <c r="S132" s="330">
        <v>3900</v>
      </c>
      <c r="T132" s="326" t="s">
        <v>170</v>
      </c>
      <c r="U132" s="326" t="s">
        <v>2040</v>
      </c>
      <c r="V132" s="332">
        <v>13135</v>
      </c>
      <c r="W132" s="333">
        <v>14165</v>
      </c>
    </row>
    <row r="133" spans="1:23" ht="45" customHeight="1" x14ac:dyDescent="0.4">
      <c r="A133" s="323">
        <v>141387</v>
      </c>
      <c r="B133" s="324" t="s">
        <v>4144</v>
      </c>
      <c r="C133" s="325" t="s">
        <v>2238</v>
      </c>
      <c r="D133" s="326" t="s">
        <v>2084</v>
      </c>
      <c r="E133" s="327" t="s">
        <v>614</v>
      </c>
      <c r="F133" s="327"/>
      <c r="G133" s="327" t="s">
        <v>615</v>
      </c>
      <c r="H133" s="325" t="s">
        <v>2036</v>
      </c>
      <c r="I133" s="325" t="s">
        <v>2236</v>
      </c>
      <c r="J133" s="328">
        <v>14</v>
      </c>
      <c r="K133" s="329">
        <v>1441</v>
      </c>
      <c r="L133" s="325" t="s">
        <v>2148</v>
      </c>
      <c r="M133" s="326" t="s">
        <v>226</v>
      </c>
      <c r="N133" s="326"/>
      <c r="O133" s="330">
        <v>426.4</v>
      </c>
      <c r="P133" s="330">
        <v>6.47</v>
      </c>
      <c r="Q133" s="331">
        <v>1441</v>
      </c>
      <c r="R133" s="330">
        <v>18000</v>
      </c>
      <c r="S133" s="330">
        <v>3900</v>
      </c>
      <c r="T133" s="326" t="s">
        <v>170</v>
      </c>
      <c r="U133" s="326" t="s">
        <v>2040</v>
      </c>
      <c r="V133" s="332">
        <v>13135</v>
      </c>
      <c r="W133" s="333"/>
    </row>
    <row r="134" spans="1:23" ht="45" customHeight="1" x14ac:dyDescent="0.4">
      <c r="A134" s="323">
        <v>141389</v>
      </c>
      <c r="B134" s="324" t="s">
        <v>4145</v>
      </c>
      <c r="C134" s="325" t="s">
        <v>2239</v>
      </c>
      <c r="D134" s="326" t="s">
        <v>2084</v>
      </c>
      <c r="E134" s="327" t="s">
        <v>4146</v>
      </c>
      <c r="F134" s="327"/>
      <c r="G134" s="327" t="s">
        <v>616</v>
      </c>
      <c r="H134" s="325" t="s">
        <v>2036</v>
      </c>
      <c r="I134" s="325" t="s">
        <v>2236</v>
      </c>
      <c r="J134" s="328">
        <v>14</v>
      </c>
      <c r="K134" s="329">
        <v>1441</v>
      </c>
      <c r="L134" s="325" t="s">
        <v>2148</v>
      </c>
      <c r="M134" s="326" t="s">
        <v>226</v>
      </c>
      <c r="N134" s="326"/>
      <c r="O134" s="330">
        <v>426.4</v>
      </c>
      <c r="P134" s="330">
        <v>6.47</v>
      </c>
      <c r="Q134" s="331">
        <v>1441</v>
      </c>
      <c r="R134" s="330">
        <v>18000</v>
      </c>
      <c r="S134" s="330">
        <v>3900</v>
      </c>
      <c r="T134" s="326" t="s">
        <v>170</v>
      </c>
      <c r="U134" s="326" t="s">
        <v>2040</v>
      </c>
      <c r="V134" s="332">
        <v>13135</v>
      </c>
      <c r="W134" s="333">
        <v>17117</v>
      </c>
    </row>
    <row r="135" spans="1:23" ht="45" customHeight="1" x14ac:dyDescent="0.4">
      <c r="A135" s="323">
        <v>141391</v>
      </c>
      <c r="B135" s="324" t="s">
        <v>4147</v>
      </c>
      <c r="C135" s="325" t="s">
        <v>2240</v>
      </c>
      <c r="D135" s="326" t="s">
        <v>2084</v>
      </c>
      <c r="E135" s="327" t="s">
        <v>617</v>
      </c>
      <c r="F135" s="327"/>
      <c r="G135" s="327" t="s">
        <v>618</v>
      </c>
      <c r="H135" s="325" t="s">
        <v>2136</v>
      </c>
      <c r="I135" s="325" t="s">
        <v>2036</v>
      </c>
      <c r="J135" s="328">
        <v>13</v>
      </c>
      <c r="K135" s="329">
        <v>1311</v>
      </c>
      <c r="L135" s="325" t="s">
        <v>2137</v>
      </c>
      <c r="M135" s="326" t="s">
        <v>226</v>
      </c>
      <c r="N135" s="326"/>
      <c r="O135" s="330">
        <v>682.76</v>
      </c>
      <c r="P135" s="330">
        <v>9.26</v>
      </c>
      <c r="Q135" s="331">
        <v>1311</v>
      </c>
      <c r="R135" s="330">
        <v>90000</v>
      </c>
      <c r="S135" s="330">
        <v>2300</v>
      </c>
      <c r="T135" s="326" t="s">
        <v>170</v>
      </c>
      <c r="U135" s="326" t="s">
        <v>2040</v>
      </c>
      <c r="V135" s="332"/>
      <c r="W135" s="333"/>
    </row>
    <row r="136" spans="1:23" ht="45" customHeight="1" x14ac:dyDescent="0.4">
      <c r="A136" s="323">
        <v>141392</v>
      </c>
      <c r="B136" s="324" t="s">
        <v>4148</v>
      </c>
      <c r="C136" s="325" t="s">
        <v>2242</v>
      </c>
      <c r="D136" s="326" t="s">
        <v>2084</v>
      </c>
      <c r="E136" s="327" t="s">
        <v>619</v>
      </c>
      <c r="F136" s="327"/>
      <c r="G136" s="327" t="s">
        <v>620</v>
      </c>
      <c r="H136" s="325" t="s">
        <v>2136</v>
      </c>
      <c r="I136" s="325" t="s">
        <v>2036</v>
      </c>
      <c r="J136" s="328">
        <v>14</v>
      </c>
      <c r="K136" s="329">
        <v>1402</v>
      </c>
      <c r="L136" s="325" t="s">
        <v>2243</v>
      </c>
      <c r="M136" s="326" t="s">
        <v>226</v>
      </c>
      <c r="N136" s="326"/>
      <c r="O136" s="330">
        <v>693.12</v>
      </c>
      <c r="P136" s="330">
        <v>5.99</v>
      </c>
      <c r="Q136" s="331">
        <v>1402</v>
      </c>
      <c r="R136" s="330">
        <v>54000</v>
      </c>
      <c r="S136" s="330">
        <v>7300</v>
      </c>
      <c r="T136" s="326" t="s">
        <v>170</v>
      </c>
      <c r="U136" s="326" t="s">
        <v>2040</v>
      </c>
      <c r="V136" s="332"/>
      <c r="W136" s="333"/>
    </row>
    <row r="137" spans="1:23" ht="45" customHeight="1" x14ac:dyDescent="0.4">
      <c r="A137" s="323">
        <v>141393</v>
      </c>
      <c r="B137" s="324" t="s">
        <v>4149</v>
      </c>
      <c r="C137" s="325" t="s">
        <v>4150</v>
      </c>
      <c r="D137" s="326" t="s">
        <v>2084</v>
      </c>
      <c r="E137" s="327" t="s">
        <v>4151</v>
      </c>
      <c r="F137" s="327" t="s">
        <v>2241</v>
      </c>
      <c r="G137" s="327" t="s">
        <v>621</v>
      </c>
      <c r="H137" s="325" t="s">
        <v>2136</v>
      </c>
      <c r="I137" s="325" t="s">
        <v>2036</v>
      </c>
      <c r="J137" s="328">
        <v>14</v>
      </c>
      <c r="K137" s="329">
        <v>1402</v>
      </c>
      <c r="L137" s="325" t="s">
        <v>2243</v>
      </c>
      <c r="M137" s="326" t="s">
        <v>226</v>
      </c>
      <c r="N137" s="326"/>
      <c r="O137" s="330">
        <v>693.12</v>
      </c>
      <c r="P137" s="330">
        <v>5.99</v>
      </c>
      <c r="Q137" s="331">
        <v>1402</v>
      </c>
      <c r="R137" s="330">
        <v>54000</v>
      </c>
      <c r="S137" s="330">
        <v>7300</v>
      </c>
      <c r="T137" s="326" t="s">
        <v>170</v>
      </c>
      <c r="U137" s="326" t="s">
        <v>2040</v>
      </c>
      <c r="V137" s="332"/>
      <c r="W137" s="333"/>
    </row>
    <row r="138" spans="1:23" ht="45" customHeight="1" x14ac:dyDescent="0.4">
      <c r="A138" s="323">
        <v>141400</v>
      </c>
      <c r="B138" s="324" t="s">
        <v>4152</v>
      </c>
      <c r="C138" s="325" t="s">
        <v>3806</v>
      </c>
      <c r="D138" s="326" t="s">
        <v>2084</v>
      </c>
      <c r="E138" s="327" t="s">
        <v>4153</v>
      </c>
      <c r="F138" s="327"/>
      <c r="G138" s="327" t="s">
        <v>383</v>
      </c>
      <c r="H138" s="325"/>
      <c r="I138" s="325"/>
      <c r="J138" s="326">
        <v>14</v>
      </c>
      <c r="K138" s="329">
        <v>1402</v>
      </c>
      <c r="L138" s="325" t="s">
        <v>2243</v>
      </c>
      <c r="M138" s="326" t="s">
        <v>226</v>
      </c>
      <c r="N138" s="326"/>
      <c r="O138" s="330">
        <v>693.12</v>
      </c>
      <c r="P138" s="330">
        <v>5.99</v>
      </c>
      <c r="Q138" s="331">
        <v>1402</v>
      </c>
      <c r="R138" s="330">
        <v>54000</v>
      </c>
      <c r="S138" s="330">
        <v>7300</v>
      </c>
      <c r="T138" s="326" t="s">
        <v>170</v>
      </c>
      <c r="U138" s="326" t="s">
        <v>2040</v>
      </c>
      <c r="V138" s="332"/>
      <c r="W138" s="333"/>
    </row>
    <row r="139" spans="1:23" ht="45" customHeight="1" x14ac:dyDescent="0.4">
      <c r="A139" s="323">
        <v>141411</v>
      </c>
      <c r="B139" s="324" t="s">
        <v>4154</v>
      </c>
      <c r="C139" s="325" t="s">
        <v>2244</v>
      </c>
      <c r="D139" s="326" t="s">
        <v>2084</v>
      </c>
      <c r="E139" s="327" t="s">
        <v>622</v>
      </c>
      <c r="F139" s="327"/>
      <c r="G139" s="327" t="s">
        <v>623</v>
      </c>
      <c r="H139" s="325" t="s">
        <v>2136</v>
      </c>
      <c r="I139" s="325" t="s">
        <v>2036</v>
      </c>
      <c r="J139" s="328">
        <v>14</v>
      </c>
      <c r="K139" s="329">
        <v>1402</v>
      </c>
      <c r="L139" s="325" t="s">
        <v>2243</v>
      </c>
      <c r="M139" s="326" t="s">
        <v>226</v>
      </c>
      <c r="N139" s="326"/>
      <c r="O139" s="330">
        <v>693.12</v>
      </c>
      <c r="P139" s="330">
        <v>5.99</v>
      </c>
      <c r="Q139" s="331">
        <v>1402</v>
      </c>
      <c r="R139" s="330">
        <v>54000</v>
      </c>
      <c r="S139" s="330">
        <v>7300</v>
      </c>
      <c r="T139" s="326" t="s">
        <v>170</v>
      </c>
      <c r="U139" s="326" t="s">
        <v>2040</v>
      </c>
      <c r="V139" s="332"/>
      <c r="W139" s="333"/>
    </row>
    <row r="140" spans="1:23" ht="45" customHeight="1" x14ac:dyDescent="0.4">
      <c r="A140" s="323">
        <v>141421</v>
      </c>
      <c r="B140" s="324" t="s">
        <v>4155</v>
      </c>
      <c r="C140" s="325" t="s">
        <v>2245</v>
      </c>
      <c r="D140" s="326" t="s">
        <v>2084</v>
      </c>
      <c r="E140" s="327" t="s">
        <v>624</v>
      </c>
      <c r="F140" s="327"/>
      <c r="G140" s="327" t="s">
        <v>625</v>
      </c>
      <c r="H140" s="325" t="s">
        <v>2136</v>
      </c>
      <c r="I140" s="325" t="s">
        <v>2036</v>
      </c>
      <c r="J140" s="328">
        <v>14</v>
      </c>
      <c r="K140" s="329">
        <v>1402</v>
      </c>
      <c r="L140" s="325" t="s">
        <v>2243</v>
      </c>
      <c r="M140" s="326" t="s">
        <v>226</v>
      </c>
      <c r="N140" s="326"/>
      <c r="O140" s="330">
        <v>693.12</v>
      </c>
      <c r="P140" s="330">
        <v>5.99</v>
      </c>
      <c r="Q140" s="331">
        <v>1402</v>
      </c>
      <c r="R140" s="330">
        <v>54000</v>
      </c>
      <c r="S140" s="330">
        <v>7300</v>
      </c>
      <c r="T140" s="326" t="s">
        <v>170</v>
      </c>
      <c r="U140" s="326" t="s">
        <v>2040</v>
      </c>
      <c r="V140" s="332"/>
      <c r="W140" s="333"/>
    </row>
    <row r="141" spans="1:23" ht="45" customHeight="1" x14ac:dyDescent="0.4">
      <c r="A141" s="323">
        <v>141446</v>
      </c>
      <c r="B141" s="324" t="s">
        <v>4156</v>
      </c>
      <c r="C141" s="325" t="s">
        <v>2246</v>
      </c>
      <c r="D141" s="326" t="s">
        <v>2084</v>
      </c>
      <c r="E141" s="327" t="s">
        <v>4157</v>
      </c>
      <c r="F141" s="327" t="s">
        <v>4158</v>
      </c>
      <c r="G141" s="327" t="s">
        <v>3699</v>
      </c>
      <c r="H141" s="325" t="s">
        <v>2136</v>
      </c>
      <c r="I141" s="325" t="s">
        <v>2036</v>
      </c>
      <c r="J141" s="328">
        <v>14</v>
      </c>
      <c r="K141" s="329">
        <v>1402</v>
      </c>
      <c r="L141" s="325" t="s">
        <v>2243</v>
      </c>
      <c r="M141" s="326" t="s">
        <v>226</v>
      </c>
      <c r="N141" s="326"/>
      <c r="O141" s="330">
        <v>693.12</v>
      </c>
      <c r="P141" s="330">
        <v>5.99</v>
      </c>
      <c r="Q141" s="331">
        <v>1402</v>
      </c>
      <c r="R141" s="330">
        <v>54000</v>
      </c>
      <c r="S141" s="330">
        <v>7300</v>
      </c>
      <c r="T141" s="326" t="s">
        <v>170</v>
      </c>
      <c r="U141" s="326" t="s">
        <v>2040</v>
      </c>
      <c r="V141" s="332"/>
      <c r="W141" s="333"/>
    </row>
    <row r="142" spans="1:23" ht="45" customHeight="1" x14ac:dyDescent="0.4">
      <c r="A142" s="323">
        <v>141447</v>
      </c>
      <c r="B142" s="324" t="s">
        <v>4159</v>
      </c>
      <c r="C142" s="325" t="s">
        <v>2247</v>
      </c>
      <c r="D142" s="326" t="s">
        <v>2084</v>
      </c>
      <c r="E142" s="327" t="s">
        <v>626</v>
      </c>
      <c r="F142" s="327"/>
      <c r="G142" s="327" t="s">
        <v>627</v>
      </c>
      <c r="H142" s="325" t="s">
        <v>2136</v>
      </c>
      <c r="I142" s="325" t="s">
        <v>2036</v>
      </c>
      <c r="J142" s="328">
        <v>14</v>
      </c>
      <c r="K142" s="329">
        <v>1402</v>
      </c>
      <c r="L142" s="325" t="s">
        <v>2243</v>
      </c>
      <c r="M142" s="326" t="s">
        <v>226</v>
      </c>
      <c r="N142" s="326"/>
      <c r="O142" s="330">
        <v>693.12</v>
      </c>
      <c r="P142" s="330">
        <v>5.99</v>
      </c>
      <c r="Q142" s="331">
        <v>1402</v>
      </c>
      <c r="R142" s="330">
        <v>54000</v>
      </c>
      <c r="S142" s="330">
        <v>7300</v>
      </c>
      <c r="T142" s="326" t="s">
        <v>170</v>
      </c>
      <c r="U142" s="326" t="s">
        <v>2040</v>
      </c>
      <c r="V142" s="332"/>
      <c r="W142" s="333"/>
    </row>
    <row r="143" spans="1:23" ht="45" customHeight="1" x14ac:dyDescent="0.4">
      <c r="A143" s="323">
        <v>141449</v>
      </c>
      <c r="B143" s="324" t="s">
        <v>4160</v>
      </c>
      <c r="C143" s="325" t="s">
        <v>2248</v>
      </c>
      <c r="D143" s="326" t="s">
        <v>2084</v>
      </c>
      <c r="E143" s="327" t="s">
        <v>4161</v>
      </c>
      <c r="F143" s="327"/>
      <c r="G143" s="327" t="s">
        <v>3700</v>
      </c>
      <c r="H143" s="325" t="s">
        <v>2136</v>
      </c>
      <c r="I143" s="325" t="s">
        <v>2036</v>
      </c>
      <c r="J143" s="328">
        <v>14</v>
      </c>
      <c r="K143" s="329">
        <v>1402</v>
      </c>
      <c r="L143" s="325" t="s">
        <v>2243</v>
      </c>
      <c r="M143" s="326" t="s">
        <v>226</v>
      </c>
      <c r="N143" s="326"/>
      <c r="O143" s="330">
        <v>693.12</v>
      </c>
      <c r="P143" s="330">
        <v>5.99</v>
      </c>
      <c r="Q143" s="331">
        <v>1402</v>
      </c>
      <c r="R143" s="330">
        <v>54000</v>
      </c>
      <c r="S143" s="330">
        <v>7300</v>
      </c>
      <c r="T143" s="326" t="s">
        <v>170</v>
      </c>
      <c r="U143" s="326" t="s">
        <v>2040</v>
      </c>
      <c r="V143" s="332"/>
      <c r="W143" s="333"/>
    </row>
    <row r="144" spans="1:23" ht="45" customHeight="1" x14ac:dyDescent="0.4">
      <c r="A144" s="323">
        <v>141453</v>
      </c>
      <c r="B144" s="324" t="s">
        <v>4162</v>
      </c>
      <c r="C144" s="325" t="s">
        <v>2249</v>
      </c>
      <c r="D144" s="326" t="s">
        <v>2084</v>
      </c>
      <c r="E144" s="327" t="s">
        <v>628</v>
      </c>
      <c r="F144" s="327"/>
      <c r="G144" s="327" t="s">
        <v>629</v>
      </c>
      <c r="H144" s="325" t="s">
        <v>2250</v>
      </c>
      <c r="I144" s="325" t="s">
        <v>2251</v>
      </c>
      <c r="J144" s="328">
        <v>14</v>
      </c>
      <c r="K144" s="329">
        <v>1412</v>
      </c>
      <c r="L144" s="325" t="s">
        <v>2252</v>
      </c>
      <c r="M144" s="326" t="s">
        <v>226</v>
      </c>
      <c r="N144" s="326"/>
      <c r="O144" s="330">
        <v>693.12</v>
      </c>
      <c r="P144" s="330">
        <v>4.74</v>
      </c>
      <c r="Q144" s="331">
        <v>1412</v>
      </c>
      <c r="R144" s="330">
        <v>120000</v>
      </c>
      <c r="S144" s="330">
        <v>13000</v>
      </c>
      <c r="T144" s="326" t="s">
        <v>170</v>
      </c>
      <c r="U144" s="326" t="s">
        <v>2040</v>
      </c>
      <c r="V144" s="332">
        <v>14110</v>
      </c>
      <c r="W144" s="333">
        <v>14140</v>
      </c>
    </row>
    <row r="145" spans="1:23" ht="45" customHeight="1" x14ac:dyDescent="0.4">
      <c r="A145" s="323">
        <v>141454</v>
      </c>
      <c r="B145" s="324" t="s">
        <v>4163</v>
      </c>
      <c r="C145" s="325" t="s">
        <v>2253</v>
      </c>
      <c r="D145" s="326" t="s">
        <v>2084</v>
      </c>
      <c r="E145" s="327" t="s">
        <v>4164</v>
      </c>
      <c r="F145" s="327"/>
      <c r="G145" s="308" t="s">
        <v>3701</v>
      </c>
      <c r="H145" s="325" t="s">
        <v>2254</v>
      </c>
      <c r="I145" s="325" t="s">
        <v>2255</v>
      </c>
      <c r="J145" s="328">
        <v>14</v>
      </c>
      <c r="K145" s="329">
        <v>1444</v>
      </c>
      <c r="L145" s="325" t="s">
        <v>2087</v>
      </c>
      <c r="M145" s="326" t="s">
        <v>226</v>
      </c>
      <c r="N145" s="326"/>
      <c r="O145" s="330">
        <v>634</v>
      </c>
      <c r="P145" s="330">
        <v>3.86</v>
      </c>
      <c r="Q145" s="331">
        <v>1444</v>
      </c>
      <c r="R145" s="330">
        <v>190000</v>
      </c>
      <c r="S145" s="330">
        <v>5800</v>
      </c>
      <c r="T145" s="326" t="s">
        <v>170</v>
      </c>
      <c r="U145" s="326" t="s">
        <v>2040</v>
      </c>
      <c r="V145" s="332">
        <v>14114</v>
      </c>
      <c r="W145" s="333">
        <v>14325</v>
      </c>
    </row>
    <row r="146" spans="1:23" ht="45" customHeight="1" x14ac:dyDescent="0.4">
      <c r="A146" s="323">
        <v>141455</v>
      </c>
      <c r="B146" s="324" t="s">
        <v>4165</v>
      </c>
      <c r="C146" s="325" t="s">
        <v>2256</v>
      </c>
      <c r="D146" s="326" t="s">
        <v>2084</v>
      </c>
      <c r="E146" s="327" t="s">
        <v>3702</v>
      </c>
      <c r="F146" s="327"/>
      <c r="G146" s="327" t="s">
        <v>630</v>
      </c>
      <c r="H146" s="325" t="s">
        <v>2257</v>
      </c>
      <c r="I146" s="325" t="s">
        <v>228</v>
      </c>
      <c r="J146" s="328">
        <v>14</v>
      </c>
      <c r="K146" s="329">
        <v>1444</v>
      </c>
      <c r="L146" s="325" t="s">
        <v>2087</v>
      </c>
      <c r="M146" s="326" t="s">
        <v>226</v>
      </c>
      <c r="N146" s="326"/>
      <c r="O146" s="330">
        <v>634</v>
      </c>
      <c r="P146" s="330">
        <v>3.86</v>
      </c>
      <c r="Q146" s="331">
        <v>1444</v>
      </c>
      <c r="R146" s="330">
        <v>190000</v>
      </c>
      <c r="S146" s="330">
        <v>5800</v>
      </c>
      <c r="T146" s="326" t="s">
        <v>170</v>
      </c>
      <c r="U146" s="326" t="s">
        <v>2040</v>
      </c>
      <c r="V146" s="332">
        <v>14169</v>
      </c>
      <c r="W146" s="333">
        <v>14322</v>
      </c>
    </row>
    <row r="147" spans="1:23" ht="45" customHeight="1" x14ac:dyDescent="0.4">
      <c r="A147" s="323">
        <v>141456</v>
      </c>
      <c r="B147" s="324" t="s">
        <v>4166</v>
      </c>
      <c r="C147" s="325" t="s">
        <v>2258</v>
      </c>
      <c r="D147" s="326" t="s">
        <v>2084</v>
      </c>
      <c r="E147" s="327" t="s">
        <v>4167</v>
      </c>
      <c r="F147" s="327"/>
      <c r="G147" s="327" t="s">
        <v>3703</v>
      </c>
      <c r="H147" s="325" t="s">
        <v>2259</v>
      </c>
      <c r="I147" s="325" t="s">
        <v>2260</v>
      </c>
      <c r="J147" s="328">
        <v>14</v>
      </c>
      <c r="K147" s="329">
        <v>1444</v>
      </c>
      <c r="L147" s="325" t="s">
        <v>2087</v>
      </c>
      <c r="M147" s="326" t="s">
        <v>226</v>
      </c>
      <c r="N147" s="326"/>
      <c r="O147" s="330">
        <v>634</v>
      </c>
      <c r="P147" s="330">
        <v>3.86</v>
      </c>
      <c r="Q147" s="331">
        <v>1444</v>
      </c>
      <c r="R147" s="330">
        <v>190000</v>
      </c>
      <c r="S147" s="330">
        <v>5800</v>
      </c>
      <c r="T147" s="326" t="s">
        <v>170</v>
      </c>
      <c r="U147" s="326" t="s">
        <v>2040</v>
      </c>
      <c r="V147" s="332">
        <v>14114</v>
      </c>
      <c r="W147" s="333">
        <v>14142</v>
      </c>
    </row>
    <row r="148" spans="1:23" ht="45" customHeight="1" x14ac:dyDescent="0.4">
      <c r="A148" s="323">
        <v>141459</v>
      </c>
      <c r="B148" s="324" t="s">
        <v>4168</v>
      </c>
      <c r="C148" s="325" t="s">
        <v>2261</v>
      </c>
      <c r="D148" s="326" t="s">
        <v>2084</v>
      </c>
      <c r="E148" s="327" t="s">
        <v>631</v>
      </c>
      <c r="F148" s="327" t="s">
        <v>4169</v>
      </c>
      <c r="G148" s="327" t="s">
        <v>632</v>
      </c>
      <c r="H148" s="325" t="s">
        <v>2036</v>
      </c>
      <c r="I148" s="325" t="s">
        <v>228</v>
      </c>
      <c r="J148" s="328">
        <v>14</v>
      </c>
      <c r="K148" s="329">
        <v>1412</v>
      </c>
      <c r="L148" s="325" t="s">
        <v>2252</v>
      </c>
      <c r="M148" s="326" t="s">
        <v>226</v>
      </c>
      <c r="N148" s="326"/>
      <c r="O148" s="330">
        <v>693.12</v>
      </c>
      <c r="P148" s="330">
        <v>4.74</v>
      </c>
      <c r="Q148" s="331">
        <v>1412</v>
      </c>
      <c r="R148" s="330">
        <v>120000</v>
      </c>
      <c r="S148" s="330">
        <v>13000</v>
      </c>
      <c r="T148" s="326" t="s">
        <v>170</v>
      </c>
      <c r="U148" s="326" t="s">
        <v>2040</v>
      </c>
      <c r="V148" s="332" t="s">
        <v>2262</v>
      </c>
      <c r="W148" s="333">
        <v>14140</v>
      </c>
    </row>
    <row r="149" spans="1:23" ht="45" customHeight="1" x14ac:dyDescent="0.4">
      <c r="A149" s="323">
        <v>141461</v>
      </c>
      <c r="B149" s="324" t="s">
        <v>4170</v>
      </c>
      <c r="C149" s="325" t="s">
        <v>633</v>
      </c>
      <c r="D149" s="326" t="s">
        <v>2084</v>
      </c>
      <c r="E149" s="327" t="s">
        <v>634</v>
      </c>
      <c r="F149" s="327"/>
      <c r="G149" s="327" t="s">
        <v>635</v>
      </c>
      <c r="H149" s="325" t="s">
        <v>2036</v>
      </c>
      <c r="I149" s="325" t="s">
        <v>2035</v>
      </c>
      <c r="J149" s="328">
        <v>14</v>
      </c>
      <c r="K149" s="329">
        <v>1412</v>
      </c>
      <c r="L149" s="325" t="s">
        <v>2252</v>
      </c>
      <c r="M149" s="326" t="s">
        <v>226</v>
      </c>
      <c r="N149" s="326"/>
      <c r="O149" s="330">
        <v>693.12</v>
      </c>
      <c r="P149" s="330">
        <v>4.74</v>
      </c>
      <c r="Q149" s="331">
        <v>1412</v>
      </c>
      <c r="R149" s="330">
        <v>120000</v>
      </c>
      <c r="S149" s="330">
        <v>13000</v>
      </c>
      <c r="T149" s="326" t="s">
        <v>170</v>
      </c>
      <c r="U149" s="326" t="s">
        <v>2040</v>
      </c>
      <c r="V149" s="332">
        <v>14110</v>
      </c>
      <c r="W149" s="333">
        <v>14140</v>
      </c>
    </row>
    <row r="150" spans="1:23" ht="45" customHeight="1" x14ac:dyDescent="0.4">
      <c r="A150" s="323">
        <v>141481</v>
      </c>
      <c r="B150" s="324" t="s">
        <v>4171</v>
      </c>
      <c r="C150" s="325" t="s">
        <v>2263</v>
      </c>
      <c r="D150" s="326" t="s">
        <v>2084</v>
      </c>
      <c r="E150" s="327" t="s">
        <v>636</v>
      </c>
      <c r="F150" s="327" t="s">
        <v>2264</v>
      </c>
      <c r="G150" s="327" t="s">
        <v>637</v>
      </c>
      <c r="H150" s="325" t="s">
        <v>2265</v>
      </c>
      <c r="I150" s="325" t="s">
        <v>2136</v>
      </c>
      <c r="J150" s="328">
        <v>14</v>
      </c>
      <c r="K150" s="329">
        <v>1402</v>
      </c>
      <c r="L150" s="325" t="s">
        <v>2243</v>
      </c>
      <c r="M150" s="326" t="s">
        <v>226</v>
      </c>
      <c r="N150" s="326"/>
      <c r="O150" s="330">
        <v>693.12</v>
      </c>
      <c r="P150" s="330">
        <v>5.99</v>
      </c>
      <c r="Q150" s="331">
        <v>1402</v>
      </c>
      <c r="R150" s="330">
        <v>54000</v>
      </c>
      <c r="S150" s="330">
        <v>7300</v>
      </c>
      <c r="T150" s="326" t="s">
        <v>170</v>
      </c>
      <c r="U150" s="326" t="s">
        <v>2040</v>
      </c>
      <c r="V150" s="332"/>
      <c r="W150" s="333"/>
    </row>
    <row r="151" spans="1:23" ht="45" customHeight="1" x14ac:dyDescent="0.4">
      <c r="A151" s="323">
        <v>141489</v>
      </c>
      <c r="B151" s="324" t="s">
        <v>4172</v>
      </c>
      <c r="C151" s="325" t="s">
        <v>2266</v>
      </c>
      <c r="D151" s="326" t="s">
        <v>2084</v>
      </c>
      <c r="E151" s="327" t="s">
        <v>638</v>
      </c>
      <c r="F151" s="327"/>
      <c r="G151" s="327" t="s">
        <v>639</v>
      </c>
      <c r="H151" s="325" t="s">
        <v>2265</v>
      </c>
      <c r="I151" s="325" t="s">
        <v>2136</v>
      </c>
      <c r="J151" s="328">
        <v>14</v>
      </c>
      <c r="K151" s="329">
        <v>1402</v>
      </c>
      <c r="L151" s="325" t="s">
        <v>2243</v>
      </c>
      <c r="M151" s="326" t="s">
        <v>226</v>
      </c>
      <c r="N151" s="326"/>
      <c r="O151" s="330">
        <v>693.12</v>
      </c>
      <c r="P151" s="330">
        <v>5.99</v>
      </c>
      <c r="Q151" s="331">
        <v>1402</v>
      </c>
      <c r="R151" s="330">
        <v>54000</v>
      </c>
      <c r="S151" s="330">
        <v>7300</v>
      </c>
      <c r="T151" s="326" t="s">
        <v>170</v>
      </c>
      <c r="U151" s="326" t="s">
        <v>2040</v>
      </c>
      <c r="V151" s="332"/>
      <c r="W151" s="333"/>
    </row>
    <row r="152" spans="1:23" ht="45" customHeight="1" x14ac:dyDescent="0.4">
      <c r="A152" s="323">
        <v>141626</v>
      </c>
      <c r="B152" s="324" t="s">
        <v>4173</v>
      </c>
      <c r="C152" s="325" t="s">
        <v>2267</v>
      </c>
      <c r="D152" s="326" t="s">
        <v>2084</v>
      </c>
      <c r="E152" s="327" t="s">
        <v>640</v>
      </c>
      <c r="F152" s="327" t="s">
        <v>3807</v>
      </c>
      <c r="G152" s="327" t="s">
        <v>641</v>
      </c>
      <c r="H152" s="325" t="s">
        <v>2268</v>
      </c>
      <c r="I152" s="325" t="s">
        <v>2269</v>
      </c>
      <c r="J152" s="328">
        <v>14</v>
      </c>
      <c r="K152" s="329">
        <v>1412</v>
      </c>
      <c r="L152" s="325" t="s">
        <v>2252</v>
      </c>
      <c r="M152" s="326" t="s">
        <v>226</v>
      </c>
      <c r="N152" s="326"/>
      <c r="O152" s="330">
        <v>693.12</v>
      </c>
      <c r="P152" s="330">
        <v>4.74</v>
      </c>
      <c r="Q152" s="331">
        <v>1412</v>
      </c>
      <c r="R152" s="330">
        <v>120000</v>
      </c>
      <c r="S152" s="330">
        <v>13000</v>
      </c>
      <c r="T152" s="326" t="s">
        <v>170</v>
      </c>
      <c r="U152" s="326" t="s">
        <v>2040</v>
      </c>
      <c r="V152" s="332">
        <v>14110</v>
      </c>
      <c r="W152" s="333"/>
    </row>
    <row r="153" spans="1:23" ht="45" customHeight="1" x14ac:dyDescent="0.4">
      <c r="A153" s="323">
        <v>141627</v>
      </c>
      <c r="B153" s="324" t="s">
        <v>4174</v>
      </c>
      <c r="C153" s="325" t="s">
        <v>2270</v>
      </c>
      <c r="D153" s="326" t="s">
        <v>2084</v>
      </c>
      <c r="E153" s="327" t="s">
        <v>4175</v>
      </c>
      <c r="F153" s="327"/>
      <c r="G153" s="327" t="s">
        <v>642</v>
      </c>
      <c r="H153" s="325" t="s">
        <v>2268</v>
      </c>
      <c r="I153" s="325" t="s">
        <v>2269</v>
      </c>
      <c r="J153" s="328">
        <v>14</v>
      </c>
      <c r="K153" s="329">
        <v>1412</v>
      </c>
      <c r="L153" s="325" t="s">
        <v>2252</v>
      </c>
      <c r="M153" s="326" t="s">
        <v>226</v>
      </c>
      <c r="N153" s="326"/>
      <c r="O153" s="330">
        <v>693.12</v>
      </c>
      <c r="P153" s="330">
        <v>4.74</v>
      </c>
      <c r="Q153" s="331">
        <v>1412</v>
      </c>
      <c r="R153" s="330">
        <v>120000</v>
      </c>
      <c r="S153" s="330">
        <v>13000</v>
      </c>
      <c r="T153" s="326" t="s">
        <v>170</v>
      </c>
      <c r="U153" s="326" t="s">
        <v>2040</v>
      </c>
      <c r="V153" s="332">
        <v>14110</v>
      </c>
      <c r="W153" s="333"/>
    </row>
    <row r="154" spans="1:23" ht="45" customHeight="1" x14ac:dyDescent="0.4">
      <c r="A154" s="323">
        <v>141629</v>
      </c>
      <c r="B154" s="324" t="s">
        <v>4176</v>
      </c>
      <c r="C154" s="325" t="s">
        <v>2271</v>
      </c>
      <c r="D154" s="326" t="s">
        <v>2084</v>
      </c>
      <c r="E154" s="327" t="s">
        <v>643</v>
      </c>
      <c r="F154" s="327"/>
      <c r="G154" s="327" t="s">
        <v>644</v>
      </c>
      <c r="H154" s="325" t="s">
        <v>2272</v>
      </c>
      <c r="I154" s="325" t="s">
        <v>2273</v>
      </c>
      <c r="J154" s="328">
        <v>14</v>
      </c>
      <c r="K154" s="329">
        <v>1412</v>
      </c>
      <c r="L154" s="325" t="s">
        <v>2252</v>
      </c>
      <c r="M154" s="326" t="s">
        <v>226</v>
      </c>
      <c r="N154" s="326"/>
      <c r="O154" s="330">
        <v>693.12</v>
      </c>
      <c r="P154" s="330">
        <v>4.74</v>
      </c>
      <c r="Q154" s="331">
        <v>1412</v>
      </c>
      <c r="R154" s="330">
        <v>120000</v>
      </c>
      <c r="S154" s="330">
        <v>13000</v>
      </c>
      <c r="T154" s="326" t="s">
        <v>170</v>
      </c>
      <c r="U154" s="326" t="s">
        <v>2040</v>
      </c>
      <c r="V154" s="332">
        <v>14110</v>
      </c>
      <c r="W154" s="333">
        <v>14130</v>
      </c>
    </row>
    <row r="155" spans="1:23" ht="45" customHeight="1" x14ac:dyDescent="0.4">
      <c r="A155" s="323">
        <v>141635</v>
      </c>
      <c r="B155" s="324" t="s">
        <v>4177</v>
      </c>
      <c r="C155" s="325" t="s">
        <v>2274</v>
      </c>
      <c r="D155" s="326" t="s">
        <v>2084</v>
      </c>
      <c r="E155" s="327" t="s">
        <v>645</v>
      </c>
      <c r="F155" s="327" t="s">
        <v>3808</v>
      </c>
      <c r="G155" s="327" t="s">
        <v>646</v>
      </c>
      <c r="H155" s="325" t="s">
        <v>2268</v>
      </c>
      <c r="I155" s="325" t="s">
        <v>2269</v>
      </c>
      <c r="J155" s="328">
        <v>14</v>
      </c>
      <c r="K155" s="329">
        <v>1412</v>
      </c>
      <c r="L155" s="325" t="s">
        <v>2252</v>
      </c>
      <c r="M155" s="326" t="s">
        <v>226</v>
      </c>
      <c r="N155" s="326"/>
      <c r="O155" s="330">
        <v>693.12</v>
      </c>
      <c r="P155" s="330">
        <v>4.74</v>
      </c>
      <c r="Q155" s="331">
        <v>1412</v>
      </c>
      <c r="R155" s="330">
        <v>120000</v>
      </c>
      <c r="S155" s="330">
        <v>13000</v>
      </c>
      <c r="T155" s="326" t="s">
        <v>170</v>
      </c>
      <c r="U155" s="326" t="s">
        <v>2040</v>
      </c>
      <c r="V155" s="332">
        <v>14110</v>
      </c>
      <c r="W155" s="333">
        <v>14130</v>
      </c>
    </row>
    <row r="156" spans="1:23" ht="45" customHeight="1" x14ac:dyDescent="0.4">
      <c r="A156" s="323">
        <v>141649</v>
      </c>
      <c r="B156" s="324" t="s">
        <v>4178</v>
      </c>
      <c r="C156" s="325" t="s">
        <v>2275</v>
      </c>
      <c r="D156" s="326" t="s">
        <v>2084</v>
      </c>
      <c r="E156" s="327" t="s">
        <v>4179</v>
      </c>
      <c r="F156" s="327"/>
      <c r="G156" s="327" t="s">
        <v>3704</v>
      </c>
      <c r="H156" s="325" t="s">
        <v>3809</v>
      </c>
      <c r="I156" s="325" t="s">
        <v>2269</v>
      </c>
      <c r="J156" s="328">
        <v>14</v>
      </c>
      <c r="K156" s="329">
        <v>1444</v>
      </c>
      <c r="L156" s="325" t="s">
        <v>2087</v>
      </c>
      <c r="M156" s="326" t="s">
        <v>226</v>
      </c>
      <c r="N156" s="326"/>
      <c r="O156" s="330">
        <v>634</v>
      </c>
      <c r="P156" s="330">
        <v>3.86</v>
      </c>
      <c r="Q156" s="331">
        <v>1444</v>
      </c>
      <c r="R156" s="330">
        <v>190000</v>
      </c>
      <c r="S156" s="330">
        <v>5800</v>
      </c>
      <c r="T156" s="326" t="s">
        <v>170</v>
      </c>
      <c r="U156" s="326" t="s">
        <v>2040</v>
      </c>
      <c r="V156" s="332">
        <v>14115</v>
      </c>
      <c r="W156" s="333">
        <v>14441</v>
      </c>
    </row>
    <row r="157" spans="1:23" ht="45" customHeight="1" x14ac:dyDescent="0.4">
      <c r="A157" s="323">
        <v>141650</v>
      </c>
      <c r="B157" s="324" t="s">
        <v>4180</v>
      </c>
      <c r="C157" s="325" t="s">
        <v>3810</v>
      </c>
      <c r="D157" s="326" t="s">
        <v>2084</v>
      </c>
      <c r="E157" s="327" t="s">
        <v>4181</v>
      </c>
      <c r="F157" s="327"/>
      <c r="G157" s="327" t="s">
        <v>383</v>
      </c>
      <c r="H157" s="325" t="s">
        <v>3809</v>
      </c>
      <c r="I157" s="325"/>
      <c r="J157" s="328">
        <v>14</v>
      </c>
      <c r="K157" s="329">
        <v>1444</v>
      </c>
      <c r="L157" s="325" t="s">
        <v>2087</v>
      </c>
      <c r="M157" s="326" t="s">
        <v>226</v>
      </c>
      <c r="N157" s="326"/>
      <c r="O157" s="330">
        <v>634</v>
      </c>
      <c r="P157" s="330">
        <v>3.86</v>
      </c>
      <c r="Q157" s="331">
        <v>1444</v>
      </c>
      <c r="R157" s="330">
        <v>190000</v>
      </c>
      <c r="S157" s="330">
        <v>5800</v>
      </c>
      <c r="T157" s="326" t="s">
        <v>170</v>
      </c>
      <c r="U157" s="326" t="s">
        <v>2040</v>
      </c>
      <c r="V157" s="332"/>
      <c r="W157" s="333"/>
    </row>
    <row r="158" spans="1:23" ht="45" customHeight="1" x14ac:dyDescent="0.4">
      <c r="A158" s="323">
        <v>141651</v>
      </c>
      <c r="B158" s="324" t="s">
        <v>4182</v>
      </c>
      <c r="C158" s="325" t="s">
        <v>3811</v>
      </c>
      <c r="D158" s="326" t="s">
        <v>2084</v>
      </c>
      <c r="E158" s="327" t="s">
        <v>4183</v>
      </c>
      <c r="F158" s="327"/>
      <c r="G158" s="327" t="s">
        <v>383</v>
      </c>
      <c r="H158" s="325" t="s">
        <v>3809</v>
      </c>
      <c r="I158" s="325"/>
      <c r="J158" s="328">
        <v>14</v>
      </c>
      <c r="K158" s="329">
        <v>1444</v>
      </c>
      <c r="L158" s="325" t="s">
        <v>2087</v>
      </c>
      <c r="M158" s="326" t="s">
        <v>226</v>
      </c>
      <c r="N158" s="326"/>
      <c r="O158" s="330">
        <v>634</v>
      </c>
      <c r="P158" s="330">
        <v>3.86</v>
      </c>
      <c r="Q158" s="331">
        <v>1444</v>
      </c>
      <c r="R158" s="330">
        <v>190000</v>
      </c>
      <c r="S158" s="330">
        <v>5800</v>
      </c>
      <c r="T158" s="326" t="s">
        <v>170</v>
      </c>
      <c r="U158" s="326" t="s">
        <v>2040</v>
      </c>
      <c r="V158" s="332"/>
      <c r="W158" s="333"/>
    </row>
    <row r="159" spans="1:23" ht="45" customHeight="1" x14ac:dyDescent="0.4">
      <c r="A159" s="323">
        <v>141652</v>
      </c>
      <c r="B159" s="324" t="s">
        <v>4184</v>
      </c>
      <c r="C159" s="325" t="s">
        <v>3812</v>
      </c>
      <c r="D159" s="326" t="s">
        <v>2084</v>
      </c>
      <c r="E159" s="327" t="s">
        <v>4185</v>
      </c>
      <c r="F159" s="327"/>
      <c r="G159" s="327" t="s">
        <v>383</v>
      </c>
      <c r="H159" s="325" t="s">
        <v>3809</v>
      </c>
      <c r="I159" s="325"/>
      <c r="J159" s="328">
        <v>14</v>
      </c>
      <c r="K159" s="329">
        <v>1444</v>
      </c>
      <c r="L159" s="325" t="s">
        <v>2087</v>
      </c>
      <c r="M159" s="326" t="s">
        <v>226</v>
      </c>
      <c r="N159" s="326"/>
      <c r="O159" s="330">
        <v>634</v>
      </c>
      <c r="P159" s="330">
        <v>3.86</v>
      </c>
      <c r="Q159" s="331">
        <v>1444</v>
      </c>
      <c r="R159" s="330">
        <v>190000</v>
      </c>
      <c r="S159" s="330">
        <v>5800</v>
      </c>
      <c r="T159" s="326" t="s">
        <v>170</v>
      </c>
      <c r="U159" s="326" t="s">
        <v>2040</v>
      </c>
      <c r="V159" s="332"/>
      <c r="W159" s="333"/>
    </row>
    <row r="160" spans="1:23" ht="45" customHeight="1" x14ac:dyDescent="0.4">
      <c r="A160" s="323">
        <v>141743</v>
      </c>
      <c r="B160" s="324" t="s">
        <v>4186</v>
      </c>
      <c r="C160" s="325" t="s">
        <v>2276</v>
      </c>
      <c r="D160" s="326" t="s">
        <v>2084</v>
      </c>
      <c r="E160" s="327" t="s">
        <v>647</v>
      </c>
      <c r="F160" s="327"/>
      <c r="G160" s="327" t="s">
        <v>648</v>
      </c>
      <c r="H160" s="325" t="s">
        <v>2036</v>
      </c>
      <c r="I160" s="325" t="s">
        <v>228</v>
      </c>
      <c r="J160" s="328">
        <v>14</v>
      </c>
      <c r="K160" s="329">
        <v>1441</v>
      </c>
      <c r="L160" s="325" t="s">
        <v>2148</v>
      </c>
      <c r="M160" s="326" t="s">
        <v>226</v>
      </c>
      <c r="N160" s="326"/>
      <c r="O160" s="330">
        <v>426.4</v>
      </c>
      <c r="P160" s="330">
        <v>6.47</v>
      </c>
      <c r="Q160" s="331">
        <v>1441</v>
      </c>
      <c r="R160" s="330">
        <v>18000</v>
      </c>
      <c r="S160" s="330">
        <v>3900</v>
      </c>
      <c r="T160" s="326" t="s">
        <v>170</v>
      </c>
      <c r="U160" s="326" t="s">
        <v>2040</v>
      </c>
      <c r="V160" s="332">
        <v>13135</v>
      </c>
      <c r="W160" s="333">
        <v>14160</v>
      </c>
    </row>
    <row r="161" spans="1:23" ht="45" customHeight="1" x14ac:dyDescent="0.4">
      <c r="A161" s="323">
        <v>141745</v>
      </c>
      <c r="B161" s="324" t="s">
        <v>4187</v>
      </c>
      <c r="C161" s="325" t="s">
        <v>2277</v>
      </c>
      <c r="D161" s="326" t="s">
        <v>2084</v>
      </c>
      <c r="E161" s="327" t="s">
        <v>649</v>
      </c>
      <c r="F161" s="327"/>
      <c r="G161" s="327" t="s">
        <v>650</v>
      </c>
      <c r="H161" s="325" t="s">
        <v>2278</v>
      </c>
      <c r="I161" s="325" t="s">
        <v>2036</v>
      </c>
      <c r="J161" s="328">
        <v>14</v>
      </c>
      <c r="K161" s="329">
        <v>1441</v>
      </c>
      <c r="L161" s="325" t="s">
        <v>2148</v>
      </c>
      <c r="M161" s="326" t="s">
        <v>226</v>
      </c>
      <c r="N161" s="326"/>
      <c r="O161" s="330">
        <v>426.4</v>
      </c>
      <c r="P161" s="330">
        <v>6.47</v>
      </c>
      <c r="Q161" s="331">
        <v>1441</v>
      </c>
      <c r="R161" s="330">
        <v>18000</v>
      </c>
      <c r="S161" s="330">
        <v>3900</v>
      </c>
      <c r="T161" s="326" t="s">
        <v>170</v>
      </c>
      <c r="U161" s="326" t="s">
        <v>2040</v>
      </c>
      <c r="V161" s="332">
        <v>13135</v>
      </c>
      <c r="W161" s="333">
        <v>14165</v>
      </c>
    </row>
    <row r="162" spans="1:23" ht="45" customHeight="1" x14ac:dyDescent="0.4">
      <c r="A162" s="323">
        <v>141747</v>
      </c>
      <c r="B162" s="324" t="s">
        <v>4188</v>
      </c>
      <c r="C162" s="325" t="s">
        <v>2279</v>
      </c>
      <c r="D162" s="326" t="s">
        <v>2084</v>
      </c>
      <c r="E162" s="327" t="s">
        <v>651</v>
      </c>
      <c r="F162" s="327"/>
      <c r="G162" s="327" t="s">
        <v>652</v>
      </c>
      <c r="H162" s="325" t="s">
        <v>2278</v>
      </c>
      <c r="I162" s="325" t="s">
        <v>2036</v>
      </c>
      <c r="J162" s="328">
        <v>14</v>
      </c>
      <c r="K162" s="329">
        <v>1441</v>
      </c>
      <c r="L162" s="325" t="s">
        <v>2148</v>
      </c>
      <c r="M162" s="326" t="s">
        <v>226</v>
      </c>
      <c r="N162" s="326"/>
      <c r="O162" s="330">
        <v>426.4</v>
      </c>
      <c r="P162" s="330">
        <v>6.47</v>
      </c>
      <c r="Q162" s="331">
        <v>1441</v>
      </c>
      <c r="R162" s="330">
        <v>18000</v>
      </c>
      <c r="S162" s="330">
        <v>3900</v>
      </c>
      <c r="T162" s="326" t="s">
        <v>170</v>
      </c>
      <c r="U162" s="326" t="s">
        <v>2040</v>
      </c>
      <c r="V162" s="332">
        <v>13135</v>
      </c>
      <c r="W162" s="333"/>
    </row>
    <row r="163" spans="1:23" ht="45" customHeight="1" x14ac:dyDescent="0.4">
      <c r="A163" s="323">
        <v>141753</v>
      </c>
      <c r="B163" s="324" t="s">
        <v>4189</v>
      </c>
      <c r="C163" s="325" t="s">
        <v>2280</v>
      </c>
      <c r="D163" s="326" t="s">
        <v>2084</v>
      </c>
      <c r="E163" s="327" t="s">
        <v>653</v>
      </c>
      <c r="F163" s="327" t="s">
        <v>3813</v>
      </c>
      <c r="G163" s="327" t="s">
        <v>654</v>
      </c>
      <c r="H163" s="325" t="s">
        <v>2036</v>
      </c>
      <c r="I163" s="325" t="s">
        <v>228</v>
      </c>
      <c r="J163" s="328">
        <v>14</v>
      </c>
      <c r="K163" s="329">
        <v>1412</v>
      </c>
      <c r="L163" s="325" t="s">
        <v>2252</v>
      </c>
      <c r="M163" s="326" t="s">
        <v>226</v>
      </c>
      <c r="N163" s="326"/>
      <c r="O163" s="330">
        <v>693.12</v>
      </c>
      <c r="P163" s="330">
        <v>4.74</v>
      </c>
      <c r="Q163" s="331">
        <v>1412</v>
      </c>
      <c r="R163" s="330">
        <v>120000</v>
      </c>
      <c r="S163" s="330">
        <v>13000</v>
      </c>
      <c r="T163" s="326" t="s">
        <v>170</v>
      </c>
      <c r="U163" s="326" t="s">
        <v>2040</v>
      </c>
      <c r="V163" s="332">
        <v>14110</v>
      </c>
      <c r="W163" s="333">
        <v>14140</v>
      </c>
    </row>
    <row r="164" spans="1:23" ht="45" customHeight="1" x14ac:dyDescent="0.4">
      <c r="A164" s="323">
        <v>141762</v>
      </c>
      <c r="B164" s="324" t="s">
        <v>4190</v>
      </c>
      <c r="C164" s="325" t="s">
        <v>2281</v>
      </c>
      <c r="D164" s="326" t="s">
        <v>2084</v>
      </c>
      <c r="E164" s="327" t="s">
        <v>3705</v>
      </c>
      <c r="F164" s="327"/>
      <c r="G164" s="327" t="s">
        <v>655</v>
      </c>
      <c r="H164" s="325" t="s">
        <v>228</v>
      </c>
      <c r="I164" s="325" t="s">
        <v>228</v>
      </c>
      <c r="J164" s="328">
        <v>13</v>
      </c>
      <c r="K164" s="329">
        <v>1311</v>
      </c>
      <c r="L164" s="325" t="s">
        <v>2137</v>
      </c>
      <c r="M164" s="326" t="s">
        <v>226</v>
      </c>
      <c r="N164" s="326"/>
      <c r="O164" s="330">
        <v>682.76</v>
      </c>
      <c r="P164" s="330">
        <v>9.26</v>
      </c>
      <c r="Q164" s="331">
        <v>1311</v>
      </c>
      <c r="R164" s="330">
        <v>90000</v>
      </c>
      <c r="S164" s="330">
        <v>2300</v>
      </c>
      <c r="T164" s="326" t="s">
        <v>170</v>
      </c>
      <c r="U164" s="326" t="s">
        <v>2040</v>
      </c>
      <c r="V164" s="332"/>
      <c r="W164" s="333"/>
    </row>
    <row r="165" spans="1:23" ht="45" customHeight="1" x14ac:dyDescent="0.4">
      <c r="A165" s="323">
        <v>141763</v>
      </c>
      <c r="B165" s="324" t="s">
        <v>4191</v>
      </c>
      <c r="C165" s="325" t="s">
        <v>2282</v>
      </c>
      <c r="D165" s="326" t="s">
        <v>2084</v>
      </c>
      <c r="E165" s="327" t="s">
        <v>656</v>
      </c>
      <c r="F165" s="327"/>
      <c r="G165" s="327" t="s">
        <v>657</v>
      </c>
      <c r="H165" s="325" t="s">
        <v>2283</v>
      </c>
      <c r="I165" s="325" t="s">
        <v>228</v>
      </c>
      <c r="J165" s="328">
        <v>14</v>
      </c>
      <c r="K165" s="329">
        <v>1442</v>
      </c>
      <c r="L165" s="325" t="s">
        <v>2284</v>
      </c>
      <c r="M165" s="326" t="s">
        <v>226</v>
      </c>
      <c r="N165" s="326"/>
      <c r="O165" s="330">
        <v>482.55</v>
      </c>
      <c r="P165" s="330">
        <v>4.96</v>
      </c>
      <c r="Q165" s="331">
        <v>1442</v>
      </c>
      <c r="R165" s="330">
        <v>130000</v>
      </c>
      <c r="S165" s="330">
        <v>8200</v>
      </c>
      <c r="T165" s="326" t="s">
        <v>170</v>
      </c>
      <c r="U165" s="326" t="s">
        <v>2040</v>
      </c>
      <c r="V165" s="332">
        <v>14116</v>
      </c>
      <c r="W165" s="333">
        <v>14375</v>
      </c>
    </row>
    <row r="166" spans="1:23" ht="45" customHeight="1" x14ac:dyDescent="0.4">
      <c r="A166" s="323">
        <v>141764</v>
      </c>
      <c r="B166" s="324" t="s">
        <v>4192</v>
      </c>
      <c r="C166" s="325" t="s">
        <v>2285</v>
      </c>
      <c r="D166" s="326" t="s">
        <v>2084</v>
      </c>
      <c r="E166" s="327" t="s">
        <v>658</v>
      </c>
      <c r="F166" s="327"/>
      <c r="G166" s="327" t="s">
        <v>659</v>
      </c>
      <c r="H166" s="325" t="s">
        <v>2283</v>
      </c>
      <c r="I166" s="325" t="s">
        <v>228</v>
      </c>
      <c r="J166" s="328">
        <v>14</v>
      </c>
      <c r="K166" s="329">
        <v>1442</v>
      </c>
      <c r="L166" s="325" t="s">
        <v>2284</v>
      </c>
      <c r="M166" s="326" t="s">
        <v>226</v>
      </c>
      <c r="N166" s="326"/>
      <c r="O166" s="330">
        <v>482.55</v>
      </c>
      <c r="P166" s="330">
        <v>4.96</v>
      </c>
      <c r="Q166" s="331">
        <v>1442</v>
      </c>
      <c r="R166" s="330">
        <v>130000</v>
      </c>
      <c r="S166" s="330">
        <v>8200</v>
      </c>
      <c r="T166" s="326" t="s">
        <v>170</v>
      </c>
      <c r="U166" s="326" t="s">
        <v>2040</v>
      </c>
      <c r="V166" s="332">
        <v>14116</v>
      </c>
      <c r="W166" s="333"/>
    </row>
    <row r="167" spans="1:23" ht="45" customHeight="1" x14ac:dyDescent="0.4">
      <c r="A167" s="323">
        <v>141765</v>
      </c>
      <c r="B167" s="324" t="s">
        <v>4193</v>
      </c>
      <c r="C167" s="325" t="s">
        <v>2286</v>
      </c>
      <c r="D167" s="326" t="s">
        <v>2084</v>
      </c>
      <c r="E167" s="327" t="s">
        <v>3706</v>
      </c>
      <c r="F167" s="327"/>
      <c r="G167" s="327" t="s">
        <v>660</v>
      </c>
      <c r="H167" s="325" t="s">
        <v>2057</v>
      </c>
      <c r="I167" s="325" t="s">
        <v>2283</v>
      </c>
      <c r="J167" s="328">
        <v>14</v>
      </c>
      <c r="K167" s="329">
        <v>1442</v>
      </c>
      <c r="L167" s="325" t="s">
        <v>2284</v>
      </c>
      <c r="M167" s="326" t="s">
        <v>226</v>
      </c>
      <c r="N167" s="326"/>
      <c r="O167" s="330">
        <v>482.55</v>
      </c>
      <c r="P167" s="330">
        <v>4.96</v>
      </c>
      <c r="Q167" s="331">
        <v>1442</v>
      </c>
      <c r="R167" s="330">
        <v>130000</v>
      </c>
      <c r="S167" s="330">
        <v>8200</v>
      </c>
      <c r="T167" s="326" t="s">
        <v>170</v>
      </c>
      <c r="U167" s="326" t="s">
        <v>2040</v>
      </c>
      <c r="V167" s="332">
        <v>14116</v>
      </c>
      <c r="W167" s="333">
        <v>14375</v>
      </c>
    </row>
    <row r="168" spans="1:23" ht="45" customHeight="1" x14ac:dyDescent="0.4">
      <c r="A168" s="323">
        <v>141766</v>
      </c>
      <c r="B168" s="324" t="s">
        <v>4194</v>
      </c>
      <c r="C168" s="325" t="s">
        <v>2287</v>
      </c>
      <c r="D168" s="326" t="s">
        <v>2084</v>
      </c>
      <c r="E168" s="327" t="s">
        <v>4195</v>
      </c>
      <c r="F168" s="327"/>
      <c r="G168" s="327" t="s">
        <v>661</v>
      </c>
      <c r="H168" s="325" t="s">
        <v>2085</v>
      </c>
      <c r="I168" s="325" t="s">
        <v>2288</v>
      </c>
      <c r="J168" s="328">
        <v>14</v>
      </c>
      <c r="K168" s="329">
        <v>1442</v>
      </c>
      <c r="L168" s="325" t="s">
        <v>2284</v>
      </c>
      <c r="M168" s="326" t="s">
        <v>226</v>
      </c>
      <c r="N168" s="326"/>
      <c r="O168" s="330">
        <v>482.55</v>
      </c>
      <c r="P168" s="330">
        <v>4.96</v>
      </c>
      <c r="Q168" s="331">
        <v>1442</v>
      </c>
      <c r="R168" s="330">
        <v>130000</v>
      </c>
      <c r="S168" s="330">
        <v>8200</v>
      </c>
      <c r="T168" s="326" t="s">
        <v>170</v>
      </c>
      <c r="U168" s="326" t="s">
        <v>2040</v>
      </c>
      <c r="V168" s="332">
        <v>14116</v>
      </c>
      <c r="W168" s="333">
        <v>14375</v>
      </c>
    </row>
    <row r="169" spans="1:23" ht="45" customHeight="1" x14ac:dyDescent="0.4">
      <c r="A169" s="323">
        <v>141782</v>
      </c>
      <c r="B169" s="324" t="s">
        <v>4196</v>
      </c>
      <c r="C169" s="325" t="s">
        <v>2289</v>
      </c>
      <c r="D169" s="326" t="s">
        <v>2084</v>
      </c>
      <c r="E169" s="327" t="s">
        <v>662</v>
      </c>
      <c r="F169" s="327" t="s">
        <v>4197</v>
      </c>
      <c r="G169" s="327" t="s">
        <v>663</v>
      </c>
      <c r="H169" s="325" t="s">
        <v>2085</v>
      </c>
      <c r="I169" s="325" t="s">
        <v>2290</v>
      </c>
      <c r="J169" s="328">
        <v>14</v>
      </c>
      <c r="K169" s="329">
        <v>1412</v>
      </c>
      <c r="L169" s="325" t="s">
        <v>2252</v>
      </c>
      <c r="M169" s="326" t="s">
        <v>226</v>
      </c>
      <c r="N169" s="326"/>
      <c r="O169" s="330">
        <v>693.12</v>
      </c>
      <c r="P169" s="330">
        <v>4.74</v>
      </c>
      <c r="Q169" s="331">
        <v>1412</v>
      </c>
      <c r="R169" s="330">
        <v>120000</v>
      </c>
      <c r="S169" s="330">
        <v>13000</v>
      </c>
      <c r="T169" s="326" t="s">
        <v>170</v>
      </c>
      <c r="U169" s="326" t="s">
        <v>2040</v>
      </c>
      <c r="V169" s="332">
        <v>14112</v>
      </c>
      <c r="W169" s="333">
        <v>14112</v>
      </c>
    </row>
    <row r="170" spans="1:23" ht="45" customHeight="1" x14ac:dyDescent="0.4">
      <c r="A170" s="323">
        <v>141783</v>
      </c>
      <c r="B170" s="324" t="s">
        <v>4198</v>
      </c>
      <c r="C170" s="325" t="s">
        <v>2291</v>
      </c>
      <c r="D170" s="326" t="s">
        <v>2084</v>
      </c>
      <c r="E170" s="327" t="s">
        <v>664</v>
      </c>
      <c r="F170" s="327"/>
      <c r="G170" s="327" t="s">
        <v>665</v>
      </c>
      <c r="H170" s="325" t="s">
        <v>2085</v>
      </c>
      <c r="I170" s="325" t="s">
        <v>2036</v>
      </c>
      <c r="J170" s="328">
        <v>14</v>
      </c>
      <c r="K170" s="329">
        <v>1412</v>
      </c>
      <c r="L170" s="325" t="s">
        <v>2252</v>
      </c>
      <c r="M170" s="326" t="s">
        <v>226</v>
      </c>
      <c r="N170" s="326"/>
      <c r="O170" s="330">
        <v>693.12</v>
      </c>
      <c r="P170" s="330">
        <v>4.74</v>
      </c>
      <c r="Q170" s="331">
        <v>1412</v>
      </c>
      <c r="R170" s="330">
        <v>120000</v>
      </c>
      <c r="S170" s="330">
        <v>13000</v>
      </c>
      <c r="T170" s="326" t="s">
        <v>170</v>
      </c>
      <c r="U170" s="326" t="s">
        <v>2040</v>
      </c>
      <c r="V170" s="332">
        <v>14112</v>
      </c>
      <c r="W170" s="333" t="s">
        <v>2292</v>
      </c>
    </row>
    <row r="171" spans="1:23" ht="45" customHeight="1" x14ac:dyDescent="0.4">
      <c r="A171" s="323">
        <v>141784</v>
      </c>
      <c r="B171" s="324" t="s">
        <v>4199</v>
      </c>
      <c r="C171" s="325" t="s">
        <v>2293</v>
      </c>
      <c r="D171" s="326" t="s">
        <v>2084</v>
      </c>
      <c r="E171" s="327" t="s">
        <v>666</v>
      </c>
      <c r="F171" s="327" t="s">
        <v>2294</v>
      </c>
      <c r="G171" s="327" t="s">
        <v>667</v>
      </c>
      <c r="H171" s="325" t="s">
        <v>2085</v>
      </c>
      <c r="I171" s="325" t="s">
        <v>2036</v>
      </c>
      <c r="J171" s="328">
        <v>14</v>
      </c>
      <c r="K171" s="329">
        <v>1412</v>
      </c>
      <c r="L171" s="325" t="s">
        <v>2252</v>
      </c>
      <c r="M171" s="326" t="s">
        <v>226</v>
      </c>
      <c r="N171" s="326"/>
      <c r="O171" s="330">
        <v>693.12</v>
      </c>
      <c r="P171" s="330">
        <v>4.74</v>
      </c>
      <c r="Q171" s="331">
        <v>1412</v>
      </c>
      <c r="R171" s="330">
        <v>120000</v>
      </c>
      <c r="S171" s="330">
        <v>13000</v>
      </c>
      <c r="T171" s="326" t="s">
        <v>170</v>
      </c>
      <c r="U171" s="326" t="s">
        <v>2040</v>
      </c>
      <c r="V171" s="332">
        <v>14112</v>
      </c>
      <c r="W171" s="333">
        <v>14111</v>
      </c>
    </row>
    <row r="172" spans="1:23" ht="45" customHeight="1" x14ac:dyDescent="0.4">
      <c r="A172" s="323">
        <v>141785</v>
      </c>
      <c r="B172" s="324" t="s">
        <v>4200</v>
      </c>
      <c r="C172" s="325" t="s">
        <v>2295</v>
      </c>
      <c r="D172" s="326" t="s">
        <v>2084</v>
      </c>
      <c r="E172" s="327" t="s">
        <v>668</v>
      </c>
      <c r="F172" s="327"/>
      <c r="G172" s="327" t="s">
        <v>669</v>
      </c>
      <c r="H172" s="325" t="s">
        <v>2085</v>
      </c>
      <c r="I172" s="325" t="s">
        <v>2036</v>
      </c>
      <c r="J172" s="328">
        <v>14</v>
      </c>
      <c r="K172" s="329">
        <v>1412</v>
      </c>
      <c r="L172" s="325" t="s">
        <v>2252</v>
      </c>
      <c r="M172" s="326" t="s">
        <v>226</v>
      </c>
      <c r="N172" s="326"/>
      <c r="O172" s="330">
        <v>693.12</v>
      </c>
      <c r="P172" s="330">
        <v>4.74</v>
      </c>
      <c r="Q172" s="331">
        <v>1412</v>
      </c>
      <c r="R172" s="330">
        <v>120000</v>
      </c>
      <c r="S172" s="330">
        <v>13000</v>
      </c>
      <c r="T172" s="326" t="s">
        <v>170</v>
      </c>
      <c r="U172" s="326" t="s">
        <v>2040</v>
      </c>
      <c r="V172" s="332">
        <v>14112</v>
      </c>
      <c r="W172" s="333">
        <v>14112</v>
      </c>
    </row>
    <row r="173" spans="1:23" ht="45" customHeight="1" x14ac:dyDescent="0.4">
      <c r="A173" s="323">
        <v>141786</v>
      </c>
      <c r="B173" s="324" t="s">
        <v>4201</v>
      </c>
      <c r="C173" s="325" t="s">
        <v>2296</v>
      </c>
      <c r="D173" s="326" t="s">
        <v>2084</v>
      </c>
      <c r="E173" s="327" t="s">
        <v>670</v>
      </c>
      <c r="F173" s="327"/>
      <c r="G173" s="327" t="s">
        <v>671</v>
      </c>
      <c r="H173" s="325" t="s">
        <v>2085</v>
      </c>
      <c r="I173" s="325" t="s">
        <v>228</v>
      </c>
      <c r="J173" s="328">
        <v>14</v>
      </c>
      <c r="K173" s="329">
        <v>1412</v>
      </c>
      <c r="L173" s="325" t="s">
        <v>2252</v>
      </c>
      <c r="M173" s="326" t="s">
        <v>226</v>
      </c>
      <c r="N173" s="326"/>
      <c r="O173" s="330">
        <v>693.12</v>
      </c>
      <c r="P173" s="330">
        <v>4.74</v>
      </c>
      <c r="Q173" s="331">
        <v>1412</v>
      </c>
      <c r="R173" s="330">
        <v>120000</v>
      </c>
      <c r="S173" s="330">
        <v>13000</v>
      </c>
      <c r="T173" s="326" t="s">
        <v>170</v>
      </c>
      <c r="U173" s="326" t="s">
        <v>2040</v>
      </c>
      <c r="V173" s="332">
        <v>14112</v>
      </c>
      <c r="W173" s="333">
        <v>14111</v>
      </c>
    </row>
    <row r="174" spans="1:23" ht="45" customHeight="1" x14ac:dyDescent="0.4">
      <c r="A174" s="323">
        <v>141787</v>
      </c>
      <c r="B174" s="324" t="s">
        <v>4202</v>
      </c>
      <c r="C174" s="325" t="s">
        <v>2297</v>
      </c>
      <c r="D174" s="326" t="s">
        <v>2084</v>
      </c>
      <c r="E174" s="327" t="s">
        <v>672</v>
      </c>
      <c r="F174" s="327"/>
      <c r="G174" s="327" t="s">
        <v>673</v>
      </c>
      <c r="H174" s="325" t="s">
        <v>2085</v>
      </c>
      <c r="I174" s="325" t="s">
        <v>228</v>
      </c>
      <c r="J174" s="328">
        <v>14</v>
      </c>
      <c r="K174" s="329">
        <v>1443</v>
      </c>
      <c r="L174" s="325" t="s">
        <v>2298</v>
      </c>
      <c r="M174" s="326" t="s">
        <v>226</v>
      </c>
      <c r="N174" s="326"/>
      <c r="O174" s="330">
        <v>362.88</v>
      </c>
      <c r="P174" s="330">
        <v>3.58</v>
      </c>
      <c r="Q174" s="331">
        <v>1443</v>
      </c>
      <c r="R174" s="330">
        <v>120000</v>
      </c>
      <c r="S174" s="330">
        <v>4800</v>
      </c>
      <c r="T174" s="326" t="s">
        <v>170</v>
      </c>
      <c r="U174" s="326" t="s">
        <v>2040</v>
      </c>
      <c r="V174" s="332">
        <v>14133</v>
      </c>
      <c r="W174" s="333">
        <v>15620</v>
      </c>
    </row>
    <row r="175" spans="1:23" ht="45" customHeight="1" x14ac:dyDescent="0.4">
      <c r="A175" s="323">
        <v>141821</v>
      </c>
      <c r="B175" s="324" t="s">
        <v>4203</v>
      </c>
      <c r="C175" s="325" t="s">
        <v>2299</v>
      </c>
      <c r="D175" s="326" t="s">
        <v>2084</v>
      </c>
      <c r="E175" s="327" t="s">
        <v>3707</v>
      </c>
      <c r="F175" s="327"/>
      <c r="G175" s="327" t="s">
        <v>674</v>
      </c>
      <c r="H175" s="325" t="s">
        <v>2085</v>
      </c>
      <c r="I175" s="325" t="s">
        <v>228</v>
      </c>
      <c r="J175" s="328">
        <v>44</v>
      </c>
      <c r="K175" s="329">
        <v>4411</v>
      </c>
      <c r="L175" s="325" t="s">
        <v>2300</v>
      </c>
      <c r="M175" s="326" t="s">
        <v>226</v>
      </c>
      <c r="N175" s="326"/>
      <c r="O175" s="330">
        <v>371</v>
      </c>
      <c r="P175" s="330">
        <v>2.2599999999999998</v>
      </c>
      <c r="Q175" s="331">
        <v>4411</v>
      </c>
      <c r="R175" s="330">
        <v>1400000</v>
      </c>
      <c r="S175" s="330">
        <v>47000</v>
      </c>
      <c r="T175" s="326" t="s">
        <v>170</v>
      </c>
      <c r="U175" s="326" t="s">
        <v>2040</v>
      </c>
      <c r="V175" s="332">
        <v>44110</v>
      </c>
      <c r="W175" s="333" t="s">
        <v>228</v>
      </c>
    </row>
    <row r="176" spans="1:23" ht="45" customHeight="1" x14ac:dyDescent="0.4">
      <c r="A176" s="323">
        <v>141911</v>
      </c>
      <c r="B176" s="324" t="s">
        <v>2304</v>
      </c>
      <c r="C176" s="325" t="s">
        <v>2301</v>
      </c>
      <c r="D176" s="326" t="s">
        <v>2084</v>
      </c>
      <c r="E176" s="327" t="s">
        <v>675</v>
      </c>
      <c r="F176" s="327"/>
      <c r="G176" s="327" t="s">
        <v>676</v>
      </c>
      <c r="H176" s="325" t="s">
        <v>2078</v>
      </c>
      <c r="I176" s="325" t="s">
        <v>228</v>
      </c>
      <c r="J176" s="328">
        <v>14</v>
      </c>
      <c r="K176" s="329">
        <v>1457</v>
      </c>
      <c r="L176" s="325" t="s">
        <v>2222</v>
      </c>
      <c r="M176" s="326" t="s">
        <v>226</v>
      </c>
      <c r="N176" s="326"/>
      <c r="O176" s="330">
        <v>811.13</v>
      </c>
      <c r="P176" s="330">
        <v>35.44</v>
      </c>
      <c r="Q176" s="331">
        <v>1457</v>
      </c>
      <c r="R176" s="330">
        <v>22000</v>
      </c>
      <c r="S176" s="330">
        <v>11000</v>
      </c>
      <c r="T176" s="326" t="s">
        <v>170</v>
      </c>
      <c r="U176" s="326" t="s">
        <v>2040</v>
      </c>
      <c r="V176" s="332"/>
      <c r="W176" s="333"/>
    </row>
    <row r="177" spans="1:23" ht="45" customHeight="1" x14ac:dyDescent="0.4">
      <c r="A177" s="323">
        <v>141912</v>
      </c>
      <c r="B177" s="324" t="s">
        <v>4204</v>
      </c>
      <c r="C177" s="325" t="s">
        <v>2302</v>
      </c>
      <c r="D177" s="326" t="s">
        <v>2084</v>
      </c>
      <c r="E177" s="327" t="s">
        <v>677</v>
      </c>
      <c r="F177" s="327"/>
      <c r="G177" s="327" t="s">
        <v>678</v>
      </c>
      <c r="H177" s="325" t="s">
        <v>2069</v>
      </c>
      <c r="I177" s="325" t="s">
        <v>2303</v>
      </c>
      <c r="J177" s="328">
        <v>14</v>
      </c>
      <c r="K177" s="329">
        <v>1403</v>
      </c>
      <c r="L177" s="325" t="s">
        <v>2304</v>
      </c>
      <c r="M177" s="326" t="s">
        <v>226</v>
      </c>
      <c r="N177" s="326"/>
      <c r="O177" s="330">
        <v>682.76</v>
      </c>
      <c r="P177" s="330">
        <v>7.95</v>
      </c>
      <c r="Q177" s="331">
        <v>1403</v>
      </c>
      <c r="R177" s="330">
        <v>6000</v>
      </c>
      <c r="S177" s="330">
        <v>4000</v>
      </c>
      <c r="T177" s="326" t="s">
        <v>170</v>
      </c>
      <c r="U177" s="326" t="s">
        <v>2040</v>
      </c>
      <c r="V177" s="332">
        <v>14121</v>
      </c>
      <c r="W177" s="333"/>
    </row>
    <row r="178" spans="1:23" ht="45" customHeight="1" x14ac:dyDescent="0.4">
      <c r="A178" s="323">
        <v>141913</v>
      </c>
      <c r="B178" s="324" t="s">
        <v>4205</v>
      </c>
      <c r="C178" s="325" t="s">
        <v>2305</v>
      </c>
      <c r="D178" s="326" t="s">
        <v>2084</v>
      </c>
      <c r="E178" s="327" t="s">
        <v>679</v>
      </c>
      <c r="F178" s="327"/>
      <c r="G178" s="327" t="s">
        <v>383</v>
      </c>
      <c r="H178" s="325" t="s">
        <v>2085</v>
      </c>
      <c r="I178" s="325" t="s">
        <v>2306</v>
      </c>
      <c r="J178" s="328">
        <v>41</v>
      </c>
      <c r="K178" s="329">
        <v>4122</v>
      </c>
      <c r="L178" s="325" t="s">
        <v>2307</v>
      </c>
      <c r="M178" s="326" t="s">
        <v>226</v>
      </c>
      <c r="N178" s="326"/>
      <c r="O178" s="330">
        <v>522.78</v>
      </c>
      <c r="P178" s="330">
        <v>0.91</v>
      </c>
      <c r="Q178" s="331">
        <v>4122</v>
      </c>
      <c r="R178" s="330">
        <v>14000</v>
      </c>
      <c r="S178" s="330">
        <v>1700</v>
      </c>
      <c r="T178" s="326" t="s">
        <v>170</v>
      </c>
      <c r="U178" s="326" t="s">
        <v>2040</v>
      </c>
      <c r="V178" s="332" t="s">
        <v>228</v>
      </c>
      <c r="W178" s="333" t="s">
        <v>228</v>
      </c>
    </row>
    <row r="179" spans="1:23" ht="45" customHeight="1" x14ac:dyDescent="0.4">
      <c r="A179" s="323">
        <v>141914</v>
      </c>
      <c r="B179" s="324" t="s">
        <v>2309</v>
      </c>
      <c r="C179" s="325" t="s">
        <v>2308</v>
      </c>
      <c r="D179" s="326" t="s">
        <v>2084</v>
      </c>
      <c r="E179" s="327" t="s">
        <v>680</v>
      </c>
      <c r="F179" s="327"/>
      <c r="G179" s="327" t="s">
        <v>681</v>
      </c>
      <c r="H179" s="325" t="s">
        <v>2069</v>
      </c>
      <c r="I179" s="325" t="s">
        <v>2303</v>
      </c>
      <c r="J179" s="328">
        <v>14</v>
      </c>
      <c r="K179" s="329">
        <v>1452</v>
      </c>
      <c r="L179" s="325" t="s">
        <v>2309</v>
      </c>
      <c r="M179" s="326" t="s">
        <v>226</v>
      </c>
      <c r="N179" s="326"/>
      <c r="O179" s="330">
        <v>811.13</v>
      </c>
      <c r="P179" s="330">
        <v>7.74</v>
      </c>
      <c r="Q179" s="331">
        <v>1452</v>
      </c>
      <c r="R179" s="330">
        <v>20000</v>
      </c>
      <c r="S179" s="330">
        <v>3000</v>
      </c>
      <c r="T179" s="326" t="s">
        <v>170</v>
      </c>
      <c r="U179" s="326" t="s">
        <v>2040</v>
      </c>
      <c r="V179" s="332"/>
      <c r="W179" s="333"/>
    </row>
    <row r="180" spans="1:23" ht="45" customHeight="1" x14ac:dyDescent="0.4">
      <c r="A180" s="323">
        <v>141915</v>
      </c>
      <c r="B180" s="324" t="s">
        <v>4206</v>
      </c>
      <c r="C180" s="325" t="s">
        <v>2310</v>
      </c>
      <c r="D180" s="326" t="s">
        <v>2084</v>
      </c>
      <c r="E180" s="327" t="s">
        <v>682</v>
      </c>
      <c r="F180" s="327"/>
      <c r="G180" s="327" t="s">
        <v>683</v>
      </c>
      <c r="H180" s="325" t="s">
        <v>2069</v>
      </c>
      <c r="I180" s="325" t="s">
        <v>2303</v>
      </c>
      <c r="J180" s="328">
        <v>14</v>
      </c>
      <c r="K180" s="329">
        <v>1403</v>
      </c>
      <c r="L180" s="325" t="s">
        <v>2304</v>
      </c>
      <c r="M180" s="326" t="s">
        <v>226</v>
      </c>
      <c r="N180" s="326"/>
      <c r="O180" s="330">
        <v>682.76</v>
      </c>
      <c r="P180" s="330">
        <v>7.95</v>
      </c>
      <c r="Q180" s="331">
        <v>1403</v>
      </c>
      <c r="R180" s="330">
        <v>6000</v>
      </c>
      <c r="S180" s="330">
        <v>4000</v>
      </c>
      <c r="T180" s="326" t="s">
        <v>170</v>
      </c>
      <c r="U180" s="326" t="s">
        <v>2040</v>
      </c>
      <c r="V180" s="332">
        <v>14121</v>
      </c>
      <c r="W180" s="333"/>
    </row>
    <row r="181" spans="1:23" ht="45" customHeight="1" x14ac:dyDescent="0.4">
      <c r="A181" s="335">
        <v>143091</v>
      </c>
      <c r="B181" s="324" t="s">
        <v>4207</v>
      </c>
      <c r="C181" s="325" t="s">
        <v>4208</v>
      </c>
      <c r="D181" s="326" t="s">
        <v>2084</v>
      </c>
      <c r="E181" s="327" t="s">
        <v>4209</v>
      </c>
      <c r="F181" s="327"/>
      <c r="G181" s="327" t="s">
        <v>383</v>
      </c>
      <c r="H181" s="325" t="e">
        <v>#N/A</v>
      </c>
      <c r="I181" s="325" t="e">
        <v>#N/A</v>
      </c>
      <c r="J181" s="328">
        <v>95</v>
      </c>
      <c r="K181" s="329">
        <v>1444</v>
      </c>
      <c r="L181" s="325" t="s">
        <v>2087</v>
      </c>
      <c r="M181" s="326" t="s">
        <v>226</v>
      </c>
      <c r="N181" s="326"/>
      <c r="O181" s="330">
        <v>634</v>
      </c>
      <c r="P181" s="330">
        <v>3.86</v>
      </c>
      <c r="Q181" s="331">
        <v>1444</v>
      </c>
      <c r="R181" s="330">
        <v>190000</v>
      </c>
      <c r="S181" s="330">
        <v>5800</v>
      </c>
      <c r="T181" s="326" t="s">
        <v>170</v>
      </c>
      <c r="U181" s="326" t="s">
        <v>2040</v>
      </c>
      <c r="V181" s="332"/>
      <c r="W181" s="333"/>
    </row>
    <row r="182" spans="1:23" ht="45" customHeight="1" x14ac:dyDescent="0.4">
      <c r="A182" s="323">
        <v>143199</v>
      </c>
      <c r="B182" s="324" t="s">
        <v>2312</v>
      </c>
      <c r="C182" s="325" t="s">
        <v>2311</v>
      </c>
      <c r="D182" s="326" t="s">
        <v>2084</v>
      </c>
      <c r="E182" s="327" t="s">
        <v>684</v>
      </c>
      <c r="F182" s="327"/>
      <c r="G182" s="327" t="s">
        <v>685</v>
      </c>
      <c r="H182" s="325" t="s">
        <v>228</v>
      </c>
      <c r="I182" s="325" t="s">
        <v>228</v>
      </c>
      <c r="J182" s="328">
        <v>14</v>
      </c>
      <c r="K182" s="329">
        <v>1431</v>
      </c>
      <c r="L182" s="325" t="s">
        <v>2312</v>
      </c>
      <c r="M182" s="326" t="s">
        <v>226</v>
      </c>
      <c r="N182" s="326"/>
      <c r="O182" s="330">
        <v>634</v>
      </c>
      <c r="P182" s="330">
        <v>5.16</v>
      </c>
      <c r="Q182" s="331">
        <v>1431</v>
      </c>
      <c r="R182" s="330">
        <v>58000</v>
      </c>
      <c r="S182" s="330">
        <v>9600</v>
      </c>
      <c r="T182" s="326" t="s">
        <v>170</v>
      </c>
      <c r="U182" s="326" t="s">
        <v>2040</v>
      </c>
      <c r="V182" s="332">
        <v>14310</v>
      </c>
      <c r="W182" s="333">
        <v>14365</v>
      </c>
    </row>
    <row r="183" spans="1:23" ht="45" customHeight="1" x14ac:dyDescent="0.4">
      <c r="A183" s="335">
        <v>143251</v>
      </c>
      <c r="B183" s="324" t="s">
        <v>4210</v>
      </c>
      <c r="C183" s="325" t="s">
        <v>4211</v>
      </c>
      <c r="D183" s="326" t="s">
        <v>2084</v>
      </c>
      <c r="E183" s="327" t="s">
        <v>4212</v>
      </c>
      <c r="F183" s="327"/>
      <c r="G183" s="327" t="s">
        <v>383</v>
      </c>
      <c r="H183" s="325" t="e">
        <v>#N/A</v>
      </c>
      <c r="I183" s="325" t="e">
        <v>#N/A</v>
      </c>
      <c r="J183" s="328">
        <v>96</v>
      </c>
      <c r="K183" s="329">
        <v>1444</v>
      </c>
      <c r="L183" s="325" t="s">
        <v>2087</v>
      </c>
      <c r="M183" s="326" t="s">
        <v>226</v>
      </c>
      <c r="N183" s="326"/>
      <c r="O183" s="330">
        <v>634</v>
      </c>
      <c r="P183" s="330">
        <v>3.86</v>
      </c>
      <c r="Q183" s="331">
        <v>1444</v>
      </c>
      <c r="R183" s="330">
        <v>190000</v>
      </c>
      <c r="S183" s="330">
        <v>5800</v>
      </c>
      <c r="T183" s="326" t="s">
        <v>170</v>
      </c>
      <c r="U183" s="326" t="s">
        <v>2040</v>
      </c>
      <c r="V183" s="332"/>
      <c r="W183" s="333"/>
    </row>
    <row r="184" spans="1:23" ht="45" customHeight="1" x14ac:dyDescent="0.4">
      <c r="A184" s="323">
        <v>143770</v>
      </c>
      <c r="B184" s="324" t="s">
        <v>4213</v>
      </c>
      <c r="C184" s="325" t="s">
        <v>2313</v>
      </c>
      <c r="D184" s="326" t="s">
        <v>2084</v>
      </c>
      <c r="E184" s="327" t="s">
        <v>4214</v>
      </c>
      <c r="F184" s="327"/>
      <c r="G184" s="327" t="s">
        <v>383</v>
      </c>
      <c r="H184" s="325" t="e">
        <v>#N/A</v>
      </c>
      <c r="I184" s="325" t="e">
        <v>#N/A</v>
      </c>
      <c r="J184" s="328">
        <v>14</v>
      </c>
      <c r="K184" s="329">
        <v>1443</v>
      </c>
      <c r="L184" s="325" t="s">
        <v>2298</v>
      </c>
      <c r="M184" s="326" t="s">
        <v>226</v>
      </c>
      <c r="N184" s="326"/>
      <c r="O184" s="330">
        <v>362.88</v>
      </c>
      <c r="P184" s="330">
        <v>3.58</v>
      </c>
      <c r="Q184" s="331">
        <v>1443</v>
      </c>
      <c r="R184" s="330">
        <v>120000</v>
      </c>
      <c r="S184" s="330">
        <v>4800</v>
      </c>
      <c r="T184" s="326" t="s">
        <v>170</v>
      </c>
      <c r="U184" s="326" t="s">
        <v>2040</v>
      </c>
      <c r="V184" s="332"/>
      <c r="W184" s="333">
        <v>14377</v>
      </c>
    </row>
    <row r="185" spans="1:23" ht="45" customHeight="1" x14ac:dyDescent="0.4">
      <c r="A185" s="323">
        <v>144321</v>
      </c>
      <c r="B185" s="324" t="s">
        <v>4215</v>
      </c>
      <c r="C185" s="325" t="s">
        <v>686</v>
      </c>
      <c r="D185" s="326" t="s">
        <v>2084</v>
      </c>
      <c r="E185" s="327" t="s">
        <v>3708</v>
      </c>
      <c r="F185" s="327"/>
      <c r="G185" s="327" t="s">
        <v>687</v>
      </c>
      <c r="H185" s="325" t="s">
        <v>228</v>
      </c>
      <c r="I185" s="325" t="s">
        <v>228</v>
      </c>
      <c r="J185" s="328">
        <v>14</v>
      </c>
      <c r="K185" s="329">
        <v>1443</v>
      </c>
      <c r="L185" s="325" t="s">
        <v>2298</v>
      </c>
      <c r="M185" s="326" t="s">
        <v>226</v>
      </c>
      <c r="N185" s="326"/>
      <c r="O185" s="330">
        <v>362.88</v>
      </c>
      <c r="P185" s="330">
        <v>3.58</v>
      </c>
      <c r="Q185" s="331">
        <v>1443</v>
      </c>
      <c r="R185" s="330">
        <v>120000</v>
      </c>
      <c r="S185" s="330">
        <v>4800</v>
      </c>
      <c r="T185" s="326" t="s">
        <v>170</v>
      </c>
      <c r="U185" s="326" t="s">
        <v>2040</v>
      </c>
      <c r="V185" s="332">
        <v>14140</v>
      </c>
      <c r="W185" s="333">
        <v>15620</v>
      </c>
    </row>
    <row r="186" spans="1:23" ht="45" customHeight="1" x14ac:dyDescent="0.4">
      <c r="A186" s="323">
        <v>144401</v>
      </c>
      <c r="B186" s="324" t="s">
        <v>4216</v>
      </c>
      <c r="C186" s="325" t="s">
        <v>2314</v>
      </c>
      <c r="D186" s="326" t="s">
        <v>2084</v>
      </c>
      <c r="E186" s="327" t="s">
        <v>4217</v>
      </c>
      <c r="F186" s="327"/>
      <c r="G186" s="327" t="s">
        <v>688</v>
      </c>
      <c r="H186" s="325" t="s">
        <v>228</v>
      </c>
      <c r="I186" s="325" t="s">
        <v>228</v>
      </c>
      <c r="J186" s="328">
        <v>14</v>
      </c>
      <c r="K186" s="329">
        <v>1444</v>
      </c>
      <c r="L186" s="325" t="s">
        <v>2087</v>
      </c>
      <c r="M186" s="326" t="s">
        <v>226</v>
      </c>
      <c r="N186" s="326"/>
      <c r="O186" s="330">
        <v>634</v>
      </c>
      <c r="P186" s="330">
        <v>3.86</v>
      </c>
      <c r="Q186" s="331">
        <v>1444</v>
      </c>
      <c r="R186" s="330">
        <v>190000</v>
      </c>
      <c r="S186" s="330">
        <v>5800</v>
      </c>
      <c r="T186" s="326" t="s">
        <v>170</v>
      </c>
      <c r="U186" s="326" t="s">
        <v>2040</v>
      </c>
      <c r="V186" s="332">
        <v>14166</v>
      </c>
      <c r="W186" s="333">
        <v>14311</v>
      </c>
    </row>
    <row r="187" spans="1:23" ht="45" customHeight="1" x14ac:dyDescent="0.4">
      <c r="A187" s="323">
        <v>144421</v>
      </c>
      <c r="B187" s="324" t="s">
        <v>4218</v>
      </c>
      <c r="C187" s="325" t="s">
        <v>2315</v>
      </c>
      <c r="D187" s="326" t="s">
        <v>2084</v>
      </c>
      <c r="E187" s="327" t="s">
        <v>689</v>
      </c>
      <c r="F187" s="327"/>
      <c r="G187" s="327" t="s">
        <v>690</v>
      </c>
      <c r="H187" s="325" t="s">
        <v>228</v>
      </c>
      <c r="I187" s="325" t="s">
        <v>228</v>
      </c>
      <c r="J187" s="328">
        <v>14</v>
      </c>
      <c r="K187" s="329">
        <v>1444</v>
      </c>
      <c r="L187" s="325" t="s">
        <v>2087</v>
      </c>
      <c r="M187" s="326" t="s">
        <v>226</v>
      </c>
      <c r="N187" s="326"/>
      <c r="O187" s="330">
        <v>634</v>
      </c>
      <c r="P187" s="330">
        <v>3.86</v>
      </c>
      <c r="Q187" s="331">
        <v>1444</v>
      </c>
      <c r="R187" s="330">
        <v>190000</v>
      </c>
      <c r="S187" s="330">
        <v>5800</v>
      </c>
      <c r="T187" s="326" t="s">
        <v>170</v>
      </c>
      <c r="U187" s="326" t="s">
        <v>2040</v>
      </c>
      <c r="V187" s="332">
        <v>14166</v>
      </c>
      <c r="W187" s="333">
        <v>14441</v>
      </c>
    </row>
    <row r="188" spans="1:23" ht="45" customHeight="1" x14ac:dyDescent="0.4">
      <c r="A188" s="323">
        <v>144422</v>
      </c>
      <c r="B188" s="324" t="s">
        <v>4219</v>
      </c>
      <c r="C188" s="325" t="s">
        <v>691</v>
      </c>
      <c r="D188" s="326" t="s">
        <v>2084</v>
      </c>
      <c r="E188" s="327" t="s">
        <v>692</v>
      </c>
      <c r="F188" s="327" t="s">
        <v>3814</v>
      </c>
      <c r="G188" s="327" t="s">
        <v>693</v>
      </c>
      <c r="H188" s="325" t="s">
        <v>228</v>
      </c>
      <c r="I188" s="325" t="s">
        <v>228</v>
      </c>
      <c r="J188" s="328">
        <v>14</v>
      </c>
      <c r="K188" s="329">
        <v>1444</v>
      </c>
      <c r="L188" s="325" t="s">
        <v>2087</v>
      </c>
      <c r="M188" s="326" t="s">
        <v>226</v>
      </c>
      <c r="N188" s="326"/>
      <c r="O188" s="330">
        <v>634</v>
      </c>
      <c r="P188" s="330">
        <v>3.86</v>
      </c>
      <c r="Q188" s="331">
        <v>1444</v>
      </c>
      <c r="R188" s="330">
        <v>190000</v>
      </c>
      <c r="S188" s="330">
        <v>5800</v>
      </c>
      <c r="T188" s="326" t="s">
        <v>170</v>
      </c>
      <c r="U188" s="326" t="s">
        <v>2040</v>
      </c>
      <c r="V188" s="332">
        <v>14180</v>
      </c>
      <c r="W188" s="333">
        <v>14440</v>
      </c>
    </row>
    <row r="189" spans="1:23" ht="45" customHeight="1" x14ac:dyDescent="0.4">
      <c r="A189" s="323">
        <v>144423</v>
      </c>
      <c r="B189" s="324" t="s">
        <v>4220</v>
      </c>
      <c r="C189" s="325" t="s">
        <v>694</v>
      </c>
      <c r="D189" s="326" t="s">
        <v>2084</v>
      </c>
      <c r="E189" s="327" t="s">
        <v>695</v>
      </c>
      <c r="F189" s="327"/>
      <c r="G189" s="327" t="s">
        <v>696</v>
      </c>
      <c r="H189" s="325" t="s">
        <v>228</v>
      </c>
      <c r="I189" s="325" t="s">
        <v>228</v>
      </c>
      <c r="J189" s="328">
        <v>14</v>
      </c>
      <c r="K189" s="329">
        <v>1444</v>
      </c>
      <c r="L189" s="325" t="s">
        <v>2087</v>
      </c>
      <c r="M189" s="326" t="s">
        <v>226</v>
      </c>
      <c r="N189" s="326"/>
      <c r="O189" s="330">
        <v>634</v>
      </c>
      <c r="P189" s="330">
        <v>3.86</v>
      </c>
      <c r="Q189" s="331">
        <v>1444</v>
      </c>
      <c r="R189" s="330">
        <v>190000</v>
      </c>
      <c r="S189" s="330">
        <v>5800</v>
      </c>
      <c r="T189" s="326" t="s">
        <v>170</v>
      </c>
      <c r="U189" s="326" t="s">
        <v>2040</v>
      </c>
      <c r="V189" s="332">
        <v>14176</v>
      </c>
      <c r="W189" s="333">
        <v>14441</v>
      </c>
    </row>
    <row r="190" spans="1:23" ht="45" customHeight="1" x14ac:dyDescent="0.4">
      <c r="A190" s="323">
        <v>144621</v>
      </c>
      <c r="B190" s="324" t="s">
        <v>4221</v>
      </c>
      <c r="C190" s="325" t="s">
        <v>2316</v>
      </c>
      <c r="D190" s="326" t="s">
        <v>2084</v>
      </c>
      <c r="E190" s="327" t="s">
        <v>697</v>
      </c>
      <c r="F190" s="327"/>
      <c r="G190" s="327" t="s">
        <v>383</v>
      </c>
      <c r="H190" s="325" t="e">
        <v>#N/A</v>
      </c>
      <c r="I190" s="325" t="e">
        <v>#N/A</v>
      </c>
      <c r="J190" s="328">
        <v>14</v>
      </c>
      <c r="K190" s="329">
        <v>1446</v>
      </c>
      <c r="L190" s="325" t="s">
        <v>2317</v>
      </c>
      <c r="M190" s="326" t="s">
        <v>226</v>
      </c>
      <c r="N190" s="326"/>
      <c r="O190" s="330">
        <v>529.53</v>
      </c>
      <c r="P190" s="330">
        <v>4.4800000000000004</v>
      </c>
      <c r="Q190" s="331">
        <v>1446</v>
      </c>
      <c r="R190" s="330">
        <v>79000</v>
      </c>
      <c r="S190" s="330">
        <v>13000</v>
      </c>
      <c r="T190" s="326" t="s">
        <v>170</v>
      </c>
      <c r="U190" s="326" t="s">
        <v>2040</v>
      </c>
      <c r="V190" s="332">
        <v>14132</v>
      </c>
      <c r="W190" s="333">
        <v>14347</v>
      </c>
    </row>
    <row r="191" spans="1:23" ht="45" customHeight="1" x14ac:dyDescent="0.4">
      <c r="A191" s="323">
        <v>145921</v>
      </c>
      <c r="B191" s="324" t="s">
        <v>4222</v>
      </c>
      <c r="C191" s="325" t="s">
        <v>2318</v>
      </c>
      <c r="D191" s="326" t="s">
        <v>2045</v>
      </c>
      <c r="E191" s="327" t="s">
        <v>698</v>
      </c>
      <c r="F191" s="327" t="s">
        <v>4223</v>
      </c>
      <c r="G191" s="327" t="s">
        <v>699</v>
      </c>
      <c r="H191" s="325" t="s">
        <v>228</v>
      </c>
      <c r="I191" s="325" t="s">
        <v>228</v>
      </c>
      <c r="J191" s="328">
        <v>14</v>
      </c>
      <c r="K191" s="329">
        <v>1459</v>
      </c>
      <c r="L191" s="325" t="s">
        <v>2319</v>
      </c>
      <c r="M191" s="326" t="s">
        <v>226</v>
      </c>
      <c r="N191" s="326"/>
      <c r="O191" s="330">
        <v>166.3</v>
      </c>
      <c r="P191" s="330">
        <v>0.69</v>
      </c>
      <c r="Q191" s="331">
        <v>1459</v>
      </c>
      <c r="R191" s="330">
        <v>41000</v>
      </c>
      <c r="S191" s="330">
        <v>2400</v>
      </c>
      <c r="T191" s="326" t="s">
        <v>170</v>
      </c>
      <c r="U191" s="326" t="s">
        <v>2040</v>
      </c>
      <c r="V191" s="332">
        <v>14179</v>
      </c>
      <c r="W191" s="333" t="s">
        <v>3815</v>
      </c>
    </row>
    <row r="192" spans="1:23" ht="45" customHeight="1" x14ac:dyDescent="0.4">
      <c r="A192" s="323">
        <v>146601</v>
      </c>
      <c r="B192" s="324" t="s">
        <v>4224</v>
      </c>
      <c r="C192" s="325" t="s">
        <v>2320</v>
      </c>
      <c r="D192" s="326" t="s">
        <v>2045</v>
      </c>
      <c r="E192" s="327" t="s">
        <v>4225</v>
      </c>
      <c r="F192" s="327" t="s">
        <v>3816</v>
      </c>
      <c r="G192" s="327" t="s">
        <v>700</v>
      </c>
      <c r="H192" s="325" t="s">
        <v>2035</v>
      </c>
      <c r="I192" s="325" t="s">
        <v>2036</v>
      </c>
      <c r="J192" s="328">
        <v>14</v>
      </c>
      <c r="K192" s="329">
        <v>1466</v>
      </c>
      <c r="L192" s="325" t="s">
        <v>2224</v>
      </c>
      <c r="M192" s="326" t="s">
        <v>226</v>
      </c>
      <c r="N192" s="326"/>
      <c r="O192" s="330">
        <v>418.27</v>
      </c>
      <c r="P192" s="330">
        <v>1.18</v>
      </c>
      <c r="Q192" s="331">
        <v>1466</v>
      </c>
      <c r="R192" s="330">
        <v>55000</v>
      </c>
      <c r="S192" s="330">
        <v>15000</v>
      </c>
      <c r="T192" s="326" t="s">
        <v>170</v>
      </c>
      <c r="U192" s="326" t="s">
        <v>2040</v>
      </c>
      <c r="V192" s="332"/>
      <c r="W192" s="333"/>
    </row>
    <row r="193" spans="1:23" ht="45" customHeight="1" x14ac:dyDescent="0.4">
      <c r="A193" s="323">
        <v>148170</v>
      </c>
      <c r="B193" s="324" t="s">
        <v>4226</v>
      </c>
      <c r="C193" s="325" t="s">
        <v>2321</v>
      </c>
      <c r="D193" s="326" t="s">
        <v>2045</v>
      </c>
      <c r="E193" s="327" t="s">
        <v>4227</v>
      </c>
      <c r="F193" s="327"/>
      <c r="G193" s="327" t="s">
        <v>383</v>
      </c>
      <c r="H193" s="325" t="e">
        <v>#N/A</v>
      </c>
      <c r="I193" s="325" t="e">
        <v>#N/A</v>
      </c>
      <c r="J193" s="326">
        <v>14</v>
      </c>
      <c r="K193" s="329">
        <v>1456</v>
      </c>
      <c r="L193" s="325" t="s">
        <v>2322</v>
      </c>
      <c r="M193" s="326" t="s">
        <v>2076</v>
      </c>
      <c r="N193" s="326"/>
      <c r="O193" s="330">
        <v>1328509.8500000001</v>
      </c>
      <c r="P193" s="330">
        <v>11136.64</v>
      </c>
      <c r="Q193" s="331">
        <v>1456</v>
      </c>
      <c r="R193" s="330">
        <v>1</v>
      </c>
      <c r="S193" s="330">
        <v>1</v>
      </c>
      <c r="T193" s="326" t="s">
        <v>170</v>
      </c>
      <c r="U193" s="326" t="s">
        <v>2040</v>
      </c>
      <c r="V193" s="332"/>
      <c r="W193" s="333">
        <v>14817</v>
      </c>
    </row>
    <row r="194" spans="1:23" ht="45" customHeight="1" x14ac:dyDescent="0.4">
      <c r="A194" s="323">
        <v>149399</v>
      </c>
      <c r="B194" s="324" t="s">
        <v>3818</v>
      </c>
      <c r="C194" s="325" t="s">
        <v>3817</v>
      </c>
      <c r="D194" s="326" t="s">
        <v>2045</v>
      </c>
      <c r="E194" s="327" t="s">
        <v>4228</v>
      </c>
      <c r="F194" s="327"/>
      <c r="G194" s="327" t="s">
        <v>702</v>
      </c>
      <c r="H194" s="325" t="s">
        <v>2078</v>
      </c>
      <c r="I194" s="325" t="s">
        <v>2324</v>
      </c>
      <c r="J194" s="328">
        <v>14</v>
      </c>
      <c r="K194" s="329">
        <v>1493</v>
      </c>
      <c r="L194" s="325" t="s">
        <v>3818</v>
      </c>
      <c r="M194" s="326" t="s">
        <v>2076</v>
      </c>
      <c r="N194" s="326"/>
      <c r="O194" s="330">
        <v>623478.9</v>
      </c>
      <c r="P194" s="330">
        <v>9063.6200000000008</v>
      </c>
      <c r="Q194" s="331">
        <v>1493</v>
      </c>
      <c r="R194" s="330">
        <v>1</v>
      </c>
      <c r="S194" s="330">
        <v>1</v>
      </c>
      <c r="T194" s="326" t="s">
        <v>170</v>
      </c>
      <c r="U194" s="326" t="s">
        <v>2040</v>
      </c>
      <c r="V194" s="332"/>
      <c r="W194" s="333">
        <v>14830</v>
      </c>
    </row>
    <row r="195" spans="1:23" ht="45" customHeight="1" x14ac:dyDescent="0.4">
      <c r="A195" s="323">
        <v>149411</v>
      </c>
      <c r="B195" s="324" t="s">
        <v>4229</v>
      </c>
      <c r="C195" s="325" t="s">
        <v>703</v>
      </c>
      <c r="D195" s="326" t="s">
        <v>2045</v>
      </c>
      <c r="E195" s="327" t="s">
        <v>704</v>
      </c>
      <c r="F195" s="327" t="s">
        <v>2326</v>
      </c>
      <c r="G195" s="327" t="s">
        <v>705</v>
      </c>
      <c r="H195" s="325" t="s">
        <v>2035</v>
      </c>
      <c r="I195" s="325" t="s">
        <v>228</v>
      </c>
      <c r="J195" s="328">
        <v>14</v>
      </c>
      <c r="K195" s="329">
        <v>1499</v>
      </c>
      <c r="L195" s="325" t="s">
        <v>2327</v>
      </c>
      <c r="M195" s="326" t="s">
        <v>2076</v>
      </c>
      <c r="N195" s="326"/>
      <c r="O195" s="330">
        <v>212226.75</v>
      </c>
      <c r="P195" s="330">
        <v>239.72</v>
      </c>
      <c r="Q195" s="331">
        <v>1499</v>
      </c>
      <c r="R195" s="330">
        <v>35</v>
      </c>
      <c r="S195" s="330">
        <v>1</v>
      </c>
      <c r="T195" s="326" t="s">
        <v>170</v>
      </c>
      <c r="U195" s="326" t="s">
        <v>2040</v>
      </c>
      <c r="V195" s="332">
        <v>14925</v>
      </c>
      <c r="W195" s="333"/>
    </row>
    <row r="196" spans="1:23" ht="45" customHeight="1" x14ac:dyDescent="0.4">
      <c r="A196" s="323">
        <v>149511</v>
      </c>
      <c r="B196" s="324" t="s">
        <v>4230</v>
      </c>
      <c r="C196" s="325" t="s">
        <v>2328</v>
      </c>
      <c r="D196" s="326" t="s">
        <v>2084</v>
      </c>
      <c r="E196" s="327" t="s">
        <v>4231</v>
      </c>
      <c r="F196" s="327" t="s">
        <v>3819</v>
      </c>
      <c r="G196" s="327" t="s">
        <v>706</v>
      </c>
      <c r="H196" s="325" t="s">
        <v>2329</v>
      </c>
      <c r="I196" s="325" t="s">
        <v>2330</v>
      </c>
      <c r="J196" s="328">
        <v>13</v>
      </c>
      <c r="K196" s="329">
        <v>1331</v>
      </c>
      <c r="L196" s="325" t="s">
        <v>2165</v>
      </c>
      <c r="M196" s="326" t="s">
        <v>226</v>
      </c>
      <c r="N196" s="326"/>
      <c r="O196" s="330">
        <v>698</v>
      </c>
      <c r="P196" s="330">
        <v>8.86</v>
      </c>
      <c r="Q196" s="331">
        <v>1331</v>
      </c>
      <c r="R196" s="330">
        <v>26000</v>
      </c>
      <c r="S196" s="330">
        <v>3800</v>
      </c>
      <c r="T196" s="326" t="s">
        <v>170</v>
      </c>
      <c r="U196" s="326" t="s">
        <v>2040</v>
      </c>
      <c r="V196" s="332">
        <v>13320</v>
      </c>
      <c r="W196" s="333"/>
    </row>
    <row r="197" spans="1:23" ht="45" customHeight="1" x14ac:dyDescent="0.4">
      <c r="A197" s="323">
        <v>149512</v>
      </c>
      <c r="B197" s="324" t="s">
        <v>4232</v>
      </c>
      <c r="C197" s="325" t="s">
        <v>2331</v>
      </c>
      <c r="D197" s="326" t="s">
        <v>2045</v>
      </c>
      <c r="E197" s="327" t="s">
        <v>707</v>
      </c>
      <c r="F197" s="327" t="s">
        <v>3820</v>
      </c>
      <c r="G197" s="327" t="s">
        <v>708</v>
      </c>
      <c r="H197" s="325" t="s">
        <v>2069</v>
      </c>
      <c r="I197" s="325" t="s">
        <v>2303</v>
      </c>
      <c r="J197" s="328">
        <v>14</v>
      </c>
      <c r="K197" s="329">
        <v>1451</v>
      </c>
      <c r="L197" s="325" t="s">
        <v>2332</v>
      </c>
      <c r="M197" s="326" t="s">
        <v>2076</v>
      </c>
      <c r="N197" s="326"/>
      <c r="O197" s="330">
        <v>10043674.57</v>
      </c>
      <c r="P197" s="330">
        <v>87533.54</v>
      </c>
      <c r="Q197" s="331">
        <v>1451</v>
      </c>
      <c r="R197" s="330">
        <v>1</v>
      </c>
      <c r="S197" s="330">
        <v>1</v>
      </c>
      <c r="T197" s="326" t="s">
        <v>170</v>
      </c>
      <c r="U197" s="326" t="s">
        <v>2040</v>
      </c>
      <c r="V197" s="332"/>
      <c r="W197" s="333"/>
    </row>
    <row r="198" spans="1:23" ht="45" customHeight="1" x14ac:dyDescent="0.4">
      <c r="A198" s="323">
        <v>149514</v>
      </c>
      <c r="B198" s="324" t="s">
        <v>4233</v>
      </c>
      <c r="C198" s="325" t="s">
        <v>2333</v>
      </c>
      <c r="D198" s="326" t="s">
        <v>2084</v>
      </c>
      <c r="E198" s="327" t="s">
        <v>709</v>
      </c>
      <c r="F198" s="327"/>
      <c r="G198" s="327" t="s">
        <v>710</v>
      </c>
      <c r="H198" s="325" t="s">
        <v>2069</v>
      </c>
      <c r="I198" s="325" t="s">
        <v>2303</v>
      </c>
      <c r="J198" s="328">
        <v>14</v>
      </c>
      <c r="K198" s="329">
        <v>1452</v>
      </c>
      <c r="L198" s="325" t="s">
        <v>2309</v>
      </c>
      <c r="M198" s="326" t="s">
        <v>226</v>
      </c>
      <c r="N198" s="326"/>
      <c r="O198" s="330">
        <v>811.13</v>
      </c>
      <c r="P198" s="330">
        <v>7.74</v>
      </c>
      <c r="Q198" s="331">
        <v>1452</v>
      </c>
      <c r="R198" s="330">
        <v>20000</v>
      </c>
      <c r="S198" s="330">
        <v>3000</v>
      </c>
      <c r="T198" s="326" t="s">
        <v>170</v>
      </c>
      <c r="U198" s="326" t="s">
        <v>2040</v>
      </c>
      <c r="V198" s="332"/>
      <c r="W198" s="333"/>
    </row>
    <row r="199" spans="1:23" ht="45" customHeight="1" x14ac:dyDescent="0.4">
      <c r="A199" s="323">
        <v>149621</v>
      </c>
      <c r="B199" s="324" t="s">
        <v>4234</v>
      </c>
      <c r="C199" s="325" t="s">
        <v>2334</v>
      </c>
      <c r="D199" s="326" t="s">
        <v>2045</v>
      </c>
      <c r="E199" s="327" t="s">
        <v>3709</v>
      </c>
      <c r="F199" s="327"/>
      <c r="G199" s="327" t="s">
        <v>711</v>
      </c>
      <c r="H199" s="325" t="s">
        <v>2335</v>
      </c>
      <c r="I199" s="325" t="s">
        <v>2273</v>
      </c>
      <c r="J199" s="328">
        <v>13</v>
      </c>
      <c r="K199" s="329">
        <v>1341</v>
      </c>
      <c r="L199" s="325" t="s">
        <v>2170</v>
      </c>
      <c r="M199" s="326" t="s">
        <v>2076</v>
      </c>
      <c r="N199" s="326"/>
      <c r="O199" s="330">
        <v>14955.81</v>
      </c>
      <c r="P199" s="330">
        <v>159.09</v>
      </c>
      <c r="Q199" s="331">
        <v>1341</v>
      </c>
      <c r="R199" s="330">
        <v>100</v>
      </c>
      <c r="S199" s="330">
        <v>1</v>
      </c>
      <c r="T199" s="326" t="s">
        <v>170</v>
      </c>
      <c r="U199" s="326" t="s">
        <v>2040</v>
      </c>
      <c r="V199" s="332">
        <v>13470</v>
      </c>
      <c r="W199" s="333">
        <v>13471</v>
      </c>
    </row>
    <row r="200" spans="1:23" ht="45" customHeight="1" x14ac:dyDescent="0.4">
      <c r="A200" s="323">
        <v>149622</v>
      </c>
      <c r="B200" s="324" t="s">
        <v>4235</v>
      </c>
      <c r="C200" s="325" t="s">
        <v>2336</v>
      </c>
      <c r="D200" s="326" t="s">
        <v>2045</v>
      </c>
      <c r="E200" s="327" t="s">
        <v>712</v>
      </c>
      <c r="F200" s="327" t="s">
        <v>3821</v>
      </c>
      <c r="G200" s="327" t="s">
        <v>713</v>
      </c>
      <c r="H200" s="325" t="s">
        <v>2335</v>
      </c>
      <c r="I200" s="325" t="s">
        <v>2273</v>
      </c>
      <c r="J200" s="328">
        <v>13</v>
      </c>
      <c r="K200" s="329">
        <v>1341</v>
      </c>
      <c r="L200" s="325" t="s">
        <v>2170</v>
      </c>
      <c r="M200" s="326" t="s">
        <v>2076</v>
      </c>
      <c r="N200" s="326"/>
      <c r="O200" s="330">
        <v>14955.81</v>
      </c>
      <c r="P200" s="330">
        <v>159.09</v>
      </c>
      <c r="Q200" s="331">
        <v>1341</v>
      </c>
      <c r="R200" s="330">
        <v>100</v>
      </c>
      <c r="S200" s="330">
        <v>1</v>
      </c>
      <c r="T200" s="326" t="s">
        <v>170</v>
      </c>
      <c r="U200" s="326" t="s">
        <v>2040</v>
      </c>
      <c r="V200" s="332"/>
      <c r="W200" s="333"/>
    </row>
    <row r="201" spans="1:23" ht="45" customHeight="1" x14ac:dyDescent="0.4">
      <c r="A201" s="323">
        <v>149623</v>
      </c>
      <c r="B201" s="324" t="s">
        <v>4236</v>
      </c>
      <c r="C201" s="325" t="s">
        <v>2337</v>
      </c>
      <c r="D201" s="326" t="s">
        <v>2045</v>
      </c>
      <c r="E201" s="327" t="s">
        <v>4237</v>
      </c>
      <c r="F201" s="327" t="s">
        <v>2338</v>
      </c>
      <c r="G201" s="327" t="s">
        <v>714</v>
      </c>
      <c r="H201" s="325" t="s">
        <v>2335</v>
      </c>
      <c r="I201" s="325" t="s">
        <v>2273</v>
      </c>
      <c r="J201" s="328">
        <v>13</v>
      </c>
      <c r="K201" s="329">
        <v>1341</v>
      </c>
      <c r="L201" s="325" t="s">
        <v>2170</v>
      </c>
      <c r="M201" s="326" t="s">
        <v>2076</v>
      </c>
      <c r="N201" s="326"/>
      <c r="O201" s="330">
        <v>14955.81</v>
      </c>
      <c r="P201" s="330">
        <v>159.09</v>
      </c>
      <c r="Q201" s="331">
        <v>1341</v>
      </c>
      <c r="R201" s="330">
        <v>100</v>
      </c>
      <c r="S201" s="330">
        <v>1</v>
      </c>
      <c r="T201" s="326" t="s">
        <v>170</v>
      </c>
      <c r="U201" s="326" t="s">
        <v>2040</v>
      </c>
      <c r="V201" s="332"/>
      <c r="W201" s="333"/>
    </row>
    <row r="202" spans="1:23" ht="45" customHeight="1" x14ac:dyDescent="0.4">
      <c r="A202" s="323">
        <v>149624</v>
      </c>
      <c r="B202" s="324" t="s">
        <v>4238</v>
      </c>
      <c r="C202" s="325" t="s">
        <v>2339</v>
      </c>
      <c r="D202" s="326" t="s">
        <v>2045</v>
      </c>
      <c r="E202" s="327" t="s">
        <v>715</v>
      </c>
      <c r="F202" s="327"/>
      <c r="G202" s="327" t="s">
        <v>716</v>
      </c>
      <c r="H202" s="325" t="s">
        <v>2335</v>
      </c>
      <c r="I202" s="325" t="s">
        <v>2273</v>
      </c>
      <c r="J202" s="328">
        <v>13</v>
      </c>
      <c r="K202" s="329">
        <v>1341</v>
      </c>
      <c r="L202" s="325" t="s">
        <v>2170</v>
      </c>
      <c r="M202" s="326" t="s">
        <v>2076</v>
      </c>
      <c r="N202" s="326"/>
      <c r="O202" s="330">
        <v>14955.81</v>
      </c>
      <c r="P202" s="330">
        <v>159.09</v>
      </c>
      <c r="Q202" s="331">
        <v>1341</v>
      </c>
      <c r="R202" s="330">
        <v>100</v>
      </c>
      <c r="S202" s="330">
        <v>1</v>
      </c>
      <c r="T202" s="326" t="s">
        <v>170</v>
      </c>
      <c r="U202" s="326" t="s">
        <v>2040</v>
      </c>
      <c r="V202" s="332"/>
      <c r="W202" s="333">
        <v>13471</v>
      </c>
    </row>
    <row r="203" spans="1:23" ht="45" customHeight="1" x14ac:dyDescent="0.4">
      <c r="A203" s="323">
        <v>149625</v>
      </c>
      <c r="B203" s="324" t="s">
        <v>4239</v>
      </c>
      <c r="C203" s="325" t="s">
        <v>2340</v>
      </c>
      <c r="D203" s="326" t="s">
        <v>2045</v>
      </c>
      <c r="E203" s="327" t="s">
        <v>717</v>
      </c>
      <c r="F203" s="327"/>
      <c r="G203" s="327" t="s">
        <v>718</v>
      </c>
      <c r="H203" s="325" t="s">
        <v>2335</v>
      </c>
      <c r="I203" s="325" t="s">
        <v>2273</v>
      </c>
      <c r="J203" s="328">
        <v>13</v>
      </c>
      <c r="K203" s="329">
        <v>1341</v>
      </c>
      <c r="L203" s="325" t="s">
        <v>2170</v>
      </c>
      <c r="M203" s="326" t="s">
        <v>2076</v>
      </c>
      <c r="N203" s="326"/>
      <c r="O203" s="330">
        <v>14955.81</v>
      </c>
      <c r="P203" s="330">
        <v>159.09</v>
      </c>
      <c r="Q203" s="331">
        <v>1341</v>
      </c>
      <c r="R203" s="330">
        <v>100</v>
      </c>
      <c r="S203" s="330">
        <v>1</v>
      </c>
      <c r="T203" s="326" t="s">
        <v>170</v>
      </c>
      <c r="U203" s="326" t="s">
        <v>2040</v>
      </c>
      <c r="V203" s="332">
        <v>13470</v>
      </c>
      <c r="W203" s="333">
        <v>13471</v>
      </c>
    </row>
    <row r="204" spans="1:23" ht="45" customHeight="1" x14ac:dyDescent="0.4">
      <c r="A204" s="323">
        <v>149626</v>
      </c>
      <c r="B204" s="324" t="s">
        <v>4240</v>
      </c>
      <c r="C204" s="325" t="s">
        <v>2341</v>
      </c>
      <c r="D204" s="326" t="s">
        <v>2045</v>
      </c>
      <c r="E204" s="327" t="s">
        <v>719</v>
      </c>
      <c r="F204" s="327"/>
      <c r="G204" s="327" t="s">
        <v>720</v>
      </c>
      <c r="H204" s="325" t="s">
        <v>2335</v>
      </c>
      <c r="I204" s="325" t="s">
        <v>2273</v>
      </c>
      <c r="J204" s="328">
        <v>13</v>
      </c>
      <c r="K204" s="329">
        <v>1341</v>
      </c>
      <c r="L204" s="325" t="s">
        <v>2170</v>
      </c>
      <c r="M204" s="326" t="s">
        <v>2076</v>
      </c>
      <c r="N204" s="326"/>
      <c r="O204" s="330">
        <v>14955.81</v>
      </c>
      <c r="P204" s="330">
        <v>159.09</v>
      </c>
      <c r="Q204" s="331">
        <v>1341</v>
      </c>
      <c r="R204" s="330">
        <v>100</v>
      </c>
      <c r="S204" s="330">
        <v>1</v>
      </c>
      <c r="T204" s="326" t="s">
        <v>170</v>
      </c>
      <c r="U204" s="326" t="s">
        <v>2040</v>
      </c>
      <c r="V204" s="332"/>
      <c r="W204" s="333"/>
    </row>
    <row r="205" spans="1:23" ht="45" customHeight="1" x14ac:dyDescent="0.4">
      <c r="A205" s="323">
        <v>149627</v>
      </c>
      <c r="B205" s="324" t="s">
        <v>4241</v>
      </c>
      <c r="C205" s="325" t="s">
        <v>2342</v>
      </c>
      <c r="D205" s="326" t="s">
        <v>2045</v>
      </c>
      <c r="E205" s="327" t="s">
        <v>721</v>
      </c>
      <c r="F205" s="327"/>
      <c r="G205" s="327" t="s">
        <v>722</v>
      </c>
      <c r="H205" s="325" t="s">
        <v>2335</v>
      </c>
      <c r="I205" s="325" t="s">
        <v>2273</v>
      </c>
      <c r="J205" s="328">
        <v>13</v>
      </c>
      <c r="K205" s="329">
        <v>1341</v>
      </c>
      <c r="L205" s="325" t="s">
        <v>2170</v>
      </c>
      <c r="M205" s="326" t="s">
        <v>2076</v>
      </c>
      <c r="N205" s="326"/>
      <c r="O205" s="330">
        <v>14955.81</v>
      </c>
      <c r="P205" s="330">
        <v>159.09</v>
      </c>
      <c r="Q205" s="331">
        <v>1341</v>
      </c>
      <c r="R205" s="330">
        <v>100</v>
      </c>
      <c r="S205" s="330">
        <v>1</v>
      </c>
      <c r="T205" s="326" t="s">
        <v>170</v>
      </c>
      <c r="U205" s="326" t="s">
        <v>2040</v>
      </c>
      <c r="V205" s="332"/>
      <c r="W205" s="333"/>
    </row>
    <row r="206" spans="1:23" ht="45" customHeight="1" x14ac:dyDescent="0.4">
      <c r="A206" s="323">
        <v>149628</v>
      </c>
      <c r="B206" s="324" t="s">
        <v>4242</v>
      </c>
      <c r="C206" s="325" t="s">
        <v>2343</v>
      </c>
      <c r="D206" s="326" t="s">
        <v>2045</v>
      </c>
      <c r="E206" s="327" t="s">
        <v>723</v>
      </c>
      <c r="F206" s="327" t="s">
        <v>4243</v>
      </c>
      <c r="G206" s="327" t="s">
        <v>724</v>
      </c>
      <c r="H206" s="325" t="s">
        <v>228</v>
      </c>
      <c r="I206" s="325" t="s">
        <v>228</v>
      </c>
      <c r="J206" s="328">
        <v>14</v>
      </c>
      <c r="K206" s="329">
        <v>1496</v>
      </c>
      <c r="L206" s="325" t="s">
        <v>2344</v>
      </c>
      <c r="M206" s="326" t="s">
        <v>226</v>
      </c>
      <c r="N206" s="326"/>
      <c r="O206" s="330">
        <v>205.79</v>
      </c>
      <c r="P206" s="330">
        <v>2.96</v>
      </c>
      <c r="Q206" s="331">
        <v>1496</v>
      </c>
      <c r="R206" s="330">
        <v>600000</v>
      </c>
      <c r="S206" s="330">
        <v>50000</v>
      </c>
      <c r="T206" s="326" t="s">
        <v>170</v>
      </c>
      <c r="U206" s="326" t="s">
        <v>2040</v>
      </c>
      <c r="V206" s="332">
        <v>14962</v>
      </c>
      <c r="W206" s="333">
        <v>14962</v>
      </c>
    </row>
    <row r="207" spans="1:23" ht="45" customHeight="1" x14ac:dyDescent="0.4">
      <c r="A207" s="323">
        <v>149629</v>
      </c>
      <c r="B207" s="324" t="s">
        <v>4244</v>
      </c>
      <c r="C207" s="325" t="s">
        <v>2345</v>
      </c>
      <c r="D207" s="326" t="s">
        <v>2045</v>
      </c>
      <c r="E207" s="327" t="s">
        <v>725</v>
      </c>
      <c r="F207" s="327" t="s">
        <v>3822</v>
      </c>
      <c r="G207" s="327" t="s">
        <v>726</v>
      </c>
      <c r="H207" s="325" t="s">
        <v>2335</v>
      </c>
      <c r="I207" s="325" t="s">
        <v>2273</v>
      </c>
      <c r="J207" s="328">
        <v>14</v>
      </c>
      <c r="K207" s="329">
        <v>1467</v>
      </c>
      <c r="L207" s="325" t="s">
        <v>2346</v>
      </c>
      <c r="M207" s="326" t="s">
        <v>2076</v>
      </c>
      <c r="N207" s="326"/>
      <c r="O207" s="330">
        <v>55099.42</v>
      </c>
      <c r="P207" s="330">
        <v>13311.11</v>
      </c>
      <c r="Q207" s="331">
        <v>1467</v>
      </c>
      <c r="R207" s="330">
        <v>1</v>
      </c>
      <c r="S207" s="330">
        <v>1</v>
      </c>
      <c r="T207" s="326" t="s">
        <v>170</v>
      </c>
      <c r="U207" s="326" t="s">
        <v>2040</v>
      </c>
      <c r="V207" s="332"/>
      <c r="W207" s="333"/>
    </row>
    <row r="208" spans="1:23" ht="45" customHeight="1" x14ac:dyDescent="0.4">
      <c r="A208" s="323">
        <v>149711</v>
      </c>
      <c r="B208" s="324" t="s">
        <v>4245</v>
      </c>
      <c r="C208" s="325" t="s">
        <v>2347</v>
      </c>
      <c r="D208" s="326" t="s">
        <v>2045</v>
      </c>
      <c r="E208" s="327" t="s">
        <v>727</v>
      </c>
      <c r="F208" s="327"/>
      <c r="G208" s="327" t="s">
        <v>728</v>
      </c>
      <c r="H208" s="325" t="s">
        <v>2348</v>
      </c>
      <c r="I208" s="325" t="s">
        <v>2349</v>
      </c>
      <c r="J208" s="328">
        <v>14</v>
      </c>
      <c r="K208" s="329">
        <v>1453</v>
      </c>
      <c r="L208" s="325" t="s">
        <v>2350</v>
      </c>
      <c r="M208" s="326" t="s">
        <v>2076</v>
      </c>
      <c r="N208" s="326"/>
      <c r="O208" s="330">
        <v>182420.36</v>
      </c>
      <c r="P208" s="330">
        <v>2333.06</v>
      </c>
      <c r="Q208" s="331">
        <v>1453</v>
      </c>
      <c r="R208" s="330">
        <v>1</v>
      </c>
      <c r="S208" s="330">
        <v>1</v>
      </c>
      <c r="T208" s="326" t="s">
        <v>170</v>
      </c>
      <c r="U208" s="326" t="s">
        <v>2040</v>
      </c>
      <c r="V208" s="332"/>
      <c r="W208" s="333"/>
    </row>
    <row r="209" spans="1:23" ht="45" customHeight="1" x14ac:dyDescent="0.4">
      <c r="A209" s="323">
        <v>149811</v>
      </c>
      <c r="B209" s="324" t="s">
        <v>3477</v>
      </c>
      <c r="C209" s="325" t="s">
        <v>729</v>
      </c>
      <c r="D209" s="326" t="s">
        <v>2045</v>
      </c>
      <c r="E209" s="327" t="s">
        <v>730</v>
      </c>
      <c r="F209" s="327"/>
      <c r="G209" s="327" t="s">
        <v>731</v>
      </c>
      <c r="H209" s="325" t="s">
        <v>2348</v>
      </c>
      <c r="I209" s="325" t="s">
        <v>2349</v>
      </c>
      <c r="J209" s="328">
        <v>14</v>
      </c>
      <c r="K209" s="329">
        <v>1454</v>
      </c>
      <c r="L209" s="325" t="s">
        <v>2351</v>
      </c>
      <c r="M209" s="326" t="s">
        <v>2039</v>
      </c>
      <c r="N209" s="326"/>
      <c r="O209" s="330">
        <v>1515.88</v>
      </c>
      <c r="P209" s="330">
        <v>19.68</v>
      </c>
      <c r="Q209" s="331">
        <v>1454</v>
      </c>
      <c r="R209" s="330">
        <v>1000</v>
      </c>
      <c r="S209" s="330">
        <v>470</v>
      </c>
      <c r="T209" s="326" t="s">
        <v>170</v>
      </c>
      <c r="U209" s="326" t="s">
        <v>2040</v>
      </c>
      <c r="V209" s="332"/>
      <c r="W209" s="333"/>
    </row>
    <row r="210" spans="1:23" ht="45" customHeight="1" x14ac:dyDescent="0.4">
      <c r="A210" s="323">
        <v>149860</v>
      </c>
      <c r="B210" s="324" t="s">
        <v>4246</v>
      </c>
      <c r="C210" s="325" t="s">
        <v>2352</v>
      </c>
      <c r="D210" s="326" t="s">
        <v>2045</v>
      </c>
      <c r="E210" s="327" t="s">
        <v>4247</v>
      </c>
      <c r="F210" s="327"/>
      <c r="G210" s="327" t="s">
        <v>383</v>
      </c>
      <c r="H210" s="325" t="e">
        <v>#N/A</v>
      </c>
      <c r="I210" s="325" t="e">
        <v>#N/A</v>
      </c>
      <c r="J210" s="328">
        <v>44</v>
      </c>
      <c r="K210" s="329">
        <v>4422</v>
      </c>
      <c r="L210" s="325" t="s">
        <v>2353</v>
      </c>
      <c r="M210" s="326" t="s">
        <v>226</v>
      </c>
      <c r="N210" s="326" t="s">
        <v>2602</v>
      </c>
      <c r="O210" s="330">
        <v>195.5</v>
      </c>
      <c r="P210" s="330">
        <v>1.49</v>
      </c>
      <c r="Q210" s="331">
        <v>4422</v>
      </c>
      <c r="R210" s="330">
        <v>400000</v>
      </c>
      <c r="S210" s="330">
        <v>5500</v>
      </c>
      <c r="T210" s="326" t="s">
        <v>170</v>
      </c>
      <c r="U210" s="326" t="s">
        <v>2040</v>
      </c>
      <c r="V210" s="332"/>
      <c r="W210" s="333">
        <v>14986</v>
      </c>
    </row>
    <row r="211" spans="1:23" ht="45" customHeight="1" x14ac:dyDescent="0.4">
      <c r="A211" s="323">
        <v>149921</v>
      </c>
      <c r="B211" s="324" t="s">
        <v>4248</v>
      </c>
      <c r="C211" s="325" t="s">
        <v>2354</v>
      </c>
      <c r="D211" s="326" t="s">
        <v>2045</v>
      </c>
      <c r="E211" s="327" t="s">
        <v>732</v>
      </c>
      <c r="F211" s="327"/>
      <c r="G211" s="327" t="s">
        <v>733</v>
      </c>
      <c r="H211" s="325" t="s">
        <v>228</v>
      </c>
      <c r="I211" s="325" t="s">
        <v>228</v>
      </c>
      <c r="J211" s="328">
        <v>14</v>
      </c>
      <c r="K211" s="329">
        <v>1499</v>
      </c>
      <c r="L211" s="325" t="s">
        <v>2327</v>
      </c>
      <c r="M211" s="326" t="s">
        <v>2076</v>
      </c>
      <c r="N211" s="326"/>
      <c r="O211" s="330">
        <v>212226.75</v>
      </c>
      <c r="P211" s="330">
        <v>239.72</v>
      </c>
      <c r="Q211" s="331">
        <v>1499</v>
      </c>
      <c r="R211" s="330">
        <v>35</v>
      </c>
      <c r="S211" s="330">
        <v>1</v>
      </c>
      <c r="T211" s="326" t="s">
        <v>170</v>
      </c>
      <c r="U211" s="326" t="s">
        <v>2040</v>
      </c>
      <c r="V211" s="332">
        <v>14937</v>
      </c>
      <c r="W211" s="333"/>
    </row>
    <row r="212" spans="1:23" ht="45" customHeight="1" x14ac:dyDescent="0.4">
      <c r="A212" s="323">
        <v>149962</v>
      </c>
      <c r="B212" s="324" t="s">
        <v>4249</v>
      </c>
      <c r="C212" s="325" t="s">
        <v>2355</v>
      </c>
      <c r="D212" s="326" t="s">
        <v>2084</v>
      </c>
      <c r="E212" s="327" t="s">
        <v>734</v>
      </c>
      <c r="F212" s="327"/>
      <c r="G212" s="327" t="s">
        <v>735</v>
      </c>
      <c r="H212" s="325" t="s">
        <v>2143</v>
      </c>
      <c r="I212" s="325" t="s">
        <v>2356</v>
      </c>
      <c r="J212" s="328">
        <v>14</v>
      </c>
      <c r="K212" s="329">
        <v>1413</v>
      </c>
      <c r="L212" s="325" t="s">
        <v>2357</v>
      </c>
      <c r="M212" s="326" t="s">
        <v>226</v>
      </c>
      <c r="N212" s="326"/>
      <c r="O212" s="330">
        <v>48.43</v>
      </c>
      <c r="P212" s="330">
        <v>9.7200000000000006</v>
      </c>
      <c r="Q212" s="331">
        <v>1413</v>
      </c>
      <c r="R212" s="330">
        <v>14000</v>
      </c>
      <c r="S212" s="330">
        <v>4600</v>
      </c>
      <c r="T212" s="326" t="s">
        <v>170</v>
      </c>
      <c r="U212" s="326" t="s">
        <v>2040</v>
      </c>
      <c r="V212" s="332">
        <v>13310</v>
      </c>
      <c r="W212" s="333">
        <v>14170</v>
      </c>
    </row>
    <row r="213" spans="1:23" ht="45" customHeight="1" x14ac:dyDescent="0.4">
      <c r="A213" s="323">
        <v>149965</v>
      </c>
      <c r="B213" s="324" t="s">
        <v>4250</v>
      </c>
      <c r="C213" s="325" t="s">
        <v>2358</v>
      </c>
      <c r="D213" s="326" t="s">
        <v>2045</v>
      </c>
      <c r="E213" s="327" t="s">
        <v>736</v>
      </c>
      <c r="F213" s="327"/>
      <c r="G213" s="327" t="s">
        <v>737</v>
      </c>
      <c r="H213" s="325" t="s">
        <v>2143</v>
      </c>
      <c r="I213" s="325" t="s">
        <v>2036</v>
      </c>
      <c r="J213" s="328">
        <v>14</v>
      </c>
      <c r="K213" s="329">
        <v>1499</v>
      </c>
      <c r="L213" s="325" t="s">
        <v>2327</v>
      </c>
      <c r="M213" s="326" t="s">
        <v>2076</v>
      </c>
      <c r="N213" s="326"/>
      <c r="O213" s="330">
        <v>212226.75</v>
      </c>
      <c r="P213" s="330">
        <v>239.72</v>
      </c>
      <c r="Q213" s="331">
        <v>1499</v>
      </c>
      <c r="R213" s="330">
        <v>35</v>
      </c>
      <c r="S213" s="330">
        <v>1</v>
      </c>
      <c r="T213" s="326" t="s">
        <v>170</v>
      </c>
      <c r="U213" s="326" t="s">
        <v>2040</v>
      </c>
      <c r="V213" s="332">
        <v>14940</v>
      </c>
      <c r="W213" s="333"/>
    </row>
    <row r="214" spans="1:23" ht="45" customHeight="1" x14ac:dyDescent="0.4">
      <c r="A214" s="323">
        <v>149967</v>
      </c>
      <c r="B214" s="324" t="s">
        <v>4251</v>
      </c>
      <c r="C214" s="325" t="s">
        <v>2359</v>
      </c>
      <c r="D214" s="326" t="s">
        <v>2045</v>
      </c>
      <c r="E214" s="327" t="s">
        <v>738</v>
      </c>
      <c r="F214" s="327" t="s">
        <v>2360</v>
      </c>
      <c r="G214" s="327" t="s">
        <v>739</v>
      </c>
      <c r="H214" s="325" t="s">
        <v>2143</v>
      </c>
      <c r="I214" s="325" t="s">
        <v>2036</v>
      </c>
      <c r="J214" s="328">
        <v>17</v>
      </c>
      <c r="K214" s="329">
        <v>1734</v>
      </c>
      <c r="L214" s="325" t="s">
        <v>3823</v>
      </c>
      <c r="M214" s="326" t="s">
        <v>2039</v>
      </c>
      <c r="N214" s="326"/>
      <c r="O214" s="330">
        <v>25899.35</v>
      </c>
      <c r="P214" s="330">
        <v>67.31</v>
      </c>
      <c r="Q214" s="331">
        <v>1734</v>
      </c>
      <c r="R214" s="330">
        <v>275</v>
      </c>
      <c r="S214" s="330">
        <v>35</v>
      </c>
      <c r="T214" s="326" t="s">
        <v>170</v>
      </c>
      <c r="U214" s="326" t="s">
        <v>2040</v>
      </c>
      <c r="V214" s="332">
        <v>17971</v>
      </c>
      <c r="W214" s="333" t="s">
        <v>3824</v>
      </c>
    </row>
    <row r="215" spans="1:23" ht="45" customHeight="1" x14ac:dyDescent="0.4">
      <c r="A215" s="323">
        <v>149968</v>
      </c>
      <c r="B215" s="324" t="s">
        <v>4252</v>
      </c>
      <c r="C215" s="325" t="s">
        <v>2361</v>
      </c>
      <c r="D215" s="326" t="s">
        <v>2045</v>
      </c>
      <c r="E215" s="327" t="s">
        <v>740</v>
      </c>
      <c r="F215" s="327"/>
      <c r="G215" s="327" t="s">
        <v>741</v>
      </c>
      <c r="H215" s="325" t="s">
        <v>2143</v>
      </c>
      <c r="I215" s="325" t="s">
        <v>2036</v>
      </c>
      <c r="J215" s="328">
        <v>14</v>
      </c>
      <c r="K215" s="329">
        <v>1499</v>
      </c>
      <c r="L215" s="325" t="s">
        <v>2327</v>
      </c>
      <c r="M215" s="326" t="s">
        <v>2076</v>
      </c>
      <c r="N215" s="326"/>
      <c r="O215" s="330">
        <v>212226.75</v>
      </c>
      <c r="P215" s="330">
        <v>239.72</v>
      </c>
      <c r="Q215" s="331">
        <v>1499</v>
      </c>
      <c r="R215" s="330">
        <v>35</v>
      </c>
      <c r="S215" s="330">
        <v>1</v>
      </c>
      <c r="T215" s="326" t="s">
        <v>170</v>
      </c>
      <c r="U215" s="326" t="s">
        <v>2040</v>
      </c>
      <c r="V215" s="332">
        <v>14940</v>
      </c>
      <c r="W215" s="333"/>
    </row>
    <row r="216" spans="1:23" ht="45" customHeight="1" x14ac:dyDescent="0.4">
      <c r="A216" s="323">
        <v>151153</v>
      </c>
      <c r="B216" s="324" t="s">
        <v>4253</v>
      </c>
      <c r="C216" s="325" t="s">
        <v>2362</v>
      </c>
      <c r="D216" s="326" t="s">
        <v>2045</v>
      </c>
      <c r="E216" s="327" t="s">
        <v>742</v>
      </c>
      <c r="F216" s="327" t="s">
        <v>3825</v>
      </c>
      <c r="G216" s="327" t="s">
        <v>743</v>
      </c>
      <c r="H216" s="325" t="s">
        <v>2035</v>
      </c>
      <c r="I216" s="325" t="s">
        <v>228</v>
      </c>
      <c r="J216" s="328">
        <v>15</v>
      </c>
      <c r="K216" s="329">
        <v>1511</v>
      </c>
      <c r="L216" s="325" t="s">
        <v>2363</v>
      </c>
      <c r="M216" s="326" t="s">
        <v>2038</v>
      </c>
      <c r="N216" s="326" t="s">
        <v>2364</v>
      </c>
      <c r="O216" s="330">
        <v>4836.54</v>
      </c>
      <c r="P216" s="330">
        <v>31.98</v>
      </c>
      <c r="Q216" s="331">
        <v>1511</v>
      </c>
      <c r="R216" s="330">
        <v>40000</v>
      </c>
      <c r="S216" s="330">
        <v>5000</v>
      </c>
      <c r="T216" s="326" t="s">
        <v>170</v>
      </c>
      <c r="U216" s="326" t="s">
        <v>2040</v>
      </c>
      <c r="V216" s="332">
        <v>15110</v>
      </c>
      <c r="W216" s="333">
        <v>15160</v>
      </c>
    </row>
    <row r="217" spans="1:23" ht="45" customHeight="1" x14ac:dyDescent="0.4">
      <c r="A217" s="323">
        <v>151155</v>
      </c>
      <c r="B217" s="324" t="s">
        <v>4254</v>
      </c>
      <c r="C217" s="325" t="s">
        <v>2365</v>
      </c>
      <c r="D217" s="326" t="s">
        <v>2045</v>
      </c>
      <c r="E217" s="327" t="s">
        <v>744</v>
      </c>
      <c r="F217" s="327"/>
      <c r="G217" s="327" t="s">
        <v>745</v>
      </c>
      <c r="H217" s="325" t="s">
        <v>2366</v>
      </c>
      <c r="I217" s="325" t="s">
        <v>2035</v>
      </c>
      <c r="J217" s="328">
        <v>15</v>
      </c>
      <c r="K217" s="329">
        <v>1511</v>
      </c>
      <c r="L217" s="325" t="s">
        <v>2363</v>
      </c>
      <c r="M217" s="326" t="s">
        <v>2038</v>
      </c>
      <c r="N217" s="326" t="s">
        <v>2364</v>
      </c>
      <c r="O217" s="330">
        <v>4836.54</v>
      </c>
      <c r="P217" s="330">
        <v>31.98</v>
      </c>
      <c r="Q217" s="331">
        <v>1511</v>
      </c>
      <c r="R217" s="330">
        <v>40000</v>
      </c>
      <c r="S217" s="330">
        <v>5000</v>
      </c>
      <c r="T217" s="326" t="s">
        <v>170</v>
      </c>
      <c r="U217" s="326" t="s">
        <v>2040</v>
      </c>
      <c r="V217" s="332">
        <v>15110</v>
      </c>
      <c r="W217" s="333">
        <v>15140</v>
      </c>
    </row>
    <row r="218" spans="1:23" ht="45" customHeight="1" x14ac:dyDescent="0.4">
      <c r="A218" s="323">
        <v>152111</v>
      </c>
      <c r="B218" s="324" t="s">
        <v>2367</v>
      </c>
      <c r="C218" s="325" t="s">
        <v>746</v>
      </c>
      <c r="D218" s="326" t="s">
        <v>2045</v>
      </c>
      <c r="E218" s="327" t="s">
        <v>747</v>
      </c>
      <c r="F218" s="327"/>
      <c r="G218" s="327" t="s">
        <v>748</v>
      </c>
      <c r="H218" s="325" t="s">
        <v>2035</v>
      </c>
      <c r="I218" s="325" t="s">
        <v>228</v>
      </c>
      <c r="J218" s="328">
        <v>15</v>
      </c>
      <c r="K218" s="329">
        <v>1512</v>
      </c>
      <c r="L218" s="325" t="s">
        <v>2367</v>
      </c>
      <c r="M218" s="326" t="s">
        <v>2038</v>
      </c>
      <c r="N218" s="326" t="s">
        <v>2364</v>
      </c>
      <c r="O218" s="330">
        <v>4836.54</v>
      </c>
      <c r="P218" s="330">
        <v>22.81</v>
      </c>
      <c r="Q218" s="331">
        <v>1512</v>
      </c>
      <c r="R218" s="330">
        <v>39000</v>
      </c>
      <c r="S218" s="330">
        <v>2700</v>
      </c>
      <c r="T218" s="326" t="s">
        <v>170</v>
      </c>
      <c r="U218" s="326" t="s">
        <v>2040</v>
      </c>
      <c r="V218" s="332">
        <v>15210</v>
      </c>
      <c r="W218" s="333">
        <v>15220</v>
      </c>
    </row>
    <row r="219" spans="1:23" ht="45" customHeight="1" x14ac:dyDescent="0.4">
      <c r="A219" s="323">
        <v>154452</v>
      </c>
      <c r="B219" s="324" t="s">
        <v>4255</v>
      </c>
      <c r="C219" s="325" t="s">
        <v>2368</v>
      </c>
      <c r="D219" s="326" t="s">
        <v>2045</v>
      </c>
      <c r="E219" s="327" t="s">
        <v>749</v>
      </c>
      <c r="F219" s="327"/>
      <c r="G219" s="327" t="s">
        <v>750</v>
      </c>
      <c r="H219" s="325" t="s">
        <v>2035</v>
      </c>
      <c r="I219" s="325" t="s">
        <v>228</v>
      </c>
      <c r="J219" s="328">
        <v>15</v>
      </c>
      <c r="K219" s="329">
        <v>1541</v>
      </c>
      <c r="L219" s="325" t="s">
        <v>2369</v>
      </c>
      <c r="M219" s="326" t="s">
        <v>2039</v>
      </c>
      <c r="N219" s="326"/>
      <c r="O219" s="330">
        <v>734.81</v>
      </c>
      <c r="P219" s="330">
        <v>16.05</v>
      </c>
      <c r="Q219" s="331">
        <v>1541</v>
      </c>
      <c r="R219" s="330">
        <v>34000</v>
      </c>
      <c r="S219" s="330">
        <v>1900</v>
      </c>
      <c r="T219" s="326" t="s">
        <v>170</v>
      </c>
      <c r="U219" s="326" t="s">
        <v>2040</v>
      </c>
      <c r="V219" s="332" t="s">
        <v>2370</v>
      </c>
      <c r="W219" s="333" t="s">
        <v>2371</v>
      </c>
    </row>
    <row r="220" spans="1:23" ht="45" customHeight="1" x14ac:dyDescent="0.4">
      <c r="A220" s="323">
        <v>155199</v>
      </c>
      <c r="B220" s="324" t="s">
        <v>2372</v>
      </c>
      <c r="C220" s="325" t="s">
        <v>751</v>
      </c>
      <c r="D220" s="326" t="s">
        <v>2045</v>
      </c>
      <c r="E220" s="327" t="s">
        <v>752</v>
      </c>
      <c r="F220" s="327"/>
      <c r="G220" s="327" t="s">
        <v>753</v>
      </c>
      <c r="H220" s="325" t="s">
        <v>2035</v>
      </c>
      <c r="I220" s="325" t="s">
        <v>228</v>
      </c>
      <c r="J220" s="328">
        <v>15</v>
      </c>
      <c r="K220" s="329">
        <v>1551</v>
      </c>
      <c r="L220" s="325" t="s">
        <v>2372</v>
      </c>
      <c r="M220" s="326" t="s">
        <v>2364</v>
      </c>
      <c r="N220" s="326"/>
      <c r="O220" s="330">
        <v>3300.8</v>
      </c>
      <c r="P220" s="330">
        <v>23.6</v>
      </c>
      <c r="Q220" s="331">
        <v>1551</v>
      </c>
      <c r="R220" s="330">
        <v>1300</v>
      </c>
      <c r="S220" s="330">
        <v>310</v>
      </c>
      <c r="T220" s="326" t="s">
        <v>170</v>
      </c>
      <c r="U220" s="326" t="s">
        <v>2040</v>
      </c>
      <c r="V220" s="332">
        <v>15510</v>
      </c>
      <c r="W220" s="333">
        <v>15520</v>
      </c>
    </row>
    <row r="221" spans="1:23" ht="45" customHeight="1" x14ac:dyDescent="0.4">
      <c r="A221" s="323">
        <v>159353</v>
      </c>
      <c r="B221" s="324" t="s">
        <v>4256</v>
      </c>
      <c r="C221" s="325" t="s">
        <v>2373</v>
      </c>
      <c r="D221" s="326" t="s">
        <v>2084</v>
      </c>
      <c r="E221" s="327" t="s">
        <v>754</v>
      </c>
      <c r="F221" s="327"/>
      <c r="G221" s="327" t="s">
        <v>755</v>
      </c>
      <c r="H221" s="325" t="s">
        <v>2085</v>
      </c>
      <c r="I221" s="325" t="s">
        <v>228</v>
      </c>
      <c r="J221" s="328">
        <v>14</v>
      </c>
      <c r="K221" s="329">
        <v>1443</v>
      </c>
      <c r="L221" s="325" t="s">
        <v>2298</v>
      </c>
      <c r="M221" s="326" t="s">
        <v>226</v>
      </c>
      <c r="N221" s="326"/>
      <c r="O221" s="330">
        <v>362.88</v>
      </c>
      <c r="P221" s="330">
        <v>3.58</v>
      </c>
      <c r="Q221" s="331">
        <v>1443</v>
      </c>
      <c r="R221" s="330">
        <v>120000</v>
      </c>
      <c r="S221" s="330">
        <v>4800</v>
      </c>
      <c r="T221" s="326" t="s">
        <v>170</v>
      </c>
      <c r="U221" s="326" t="s">
        <v>2040</v>
      </c>
      <c r="V221" s="332">
        <v>14133</v>
      </c>
      <c r="W221" s="333" t="s">
        <v>2374</v>
      </c>
    </row>
    <row r="222" spans="1:23" ht="45" customHeight="1" x14ac:dyDescent="0.4">
      <c r="A222" s="323">
        <v>163100</v>
      </c>
      <c r="B222" s="324" t="s">
        <v>2376</v>
      </c>
      <c r="C222" s="325" t="s">
        <v>3826</v>
      </c>
      <c r="D222" s="326" t="s">
        <v>2045</v>
      </c>
      <c r="E222" s="327" t="s">
        <v>4257</v>
      </c>
      <c r="F222" s="327"/>
      <c r="G222" s="327" t="s">
        <v>383</v>
      </c>
      <c r="H222" s="325"/>
      <c r="I222" s="325"/>
      <c r="J222" s="328">
        <v>16</v>
      </c>
      <c r="K222" s="329">
        <v>1631</v>
      </c>
      <c r="L222" s="325" t="s">
        <v>2376</v>
      </c>
      <c r="M222" s="326" t="s">
        <v>2076</v>
      </c>
      <c r="N222" s="326"/>
      <c r="O222" s="330">
        <v>20594.009999999998</v>
      </c>
      <c r="P222" s="330">
        <v>1174.0999999999999</v>
      </c>
      <c r="Q222" s="331">
        <v>1631</v>
      </c>
      <c r="R222" s="330">
        <v>200</v>
      </c>
      <c r="S222" s="330">
        <v>1</v>
      </c>
      <c r="T222" s="326" t="s">
        <v>170</v>
      </c>
      <c r="U222" s="326" t="s">
        <v>2040</v>
      </c>
      <c r="V222" s="332"/>
      <c r="W222" s="333"/>
    </row>
    <row r="223" spans="1:23" ht="45" customHeight="1" x14ac:dyDescent="0.4">
      <c r="A223" s="323">
        <v>163311</v>
      </c>
      <c r="B223" s="324" t="s">
        <v>4258</v>
      </c>
      <c r="C223" s="325" t="s">
        <v>2375</v>
      </c>
      <c r="D223" s="326" t="s">
        <v>2045</v>
      </c>
      <c r="E223" s="327" t="s">
        <v>3710</v>
      </c>
      <c r="F223" s="327"/>
      <c r="G223" s="327" t="s">
        <v>756</v>
      </c>
      <c r="H223" s="325" t="s">
        <v>2366</v>
      </c>
      <c r="I223" s="325" t="s">
        <v>2035</v>
      </c>
      <c r="J223" s="328">
        <v>16</v>
      </c>
      <c r="K223" s="329">
        <v>1631</v>
      </c>
      <c r="L223" s="325" t="s">
        <v>2376</v>
      </c>
      <c r="M223" s="326" t="s">
        <v>2076</v>
      </c>
      <c r="N223" s="326"/>
      <c r="O223" s="330">
        <v>20594.009999999998</v>
      </c>
      <c r="P223" s="330">
        <v>1174.0999999999999</v>
      </c>
      <c r="Q223" s="331">
        <v>1631</v>
      </c>
      <c r="R223" s="330">
        <v>200</v>
      </c>
      <c r="S223" s="330">
        <v>1</v>
      </c>
      <c r="T223" s="326" t="s">
        <v>170</v>
      </c>
      <c r="U223" s="326" t="s">
        <v>2040</v>
      </c>
      <c r="V223" s="332">
        <v>16310</v>
      </c>
      <c r="W223" s="333" t="s">
        <v>2377</v>
      </c>
    </row>
    <row r="224" spans="1:23" ht="45" customHeight="1" x14ac:dyDescent="0.4">
      <c r="A224" s="323">
        <v>164211</v>
      </c>
      <c r="B224" s="324" t="s">
        <v>4259</v>
      </c>
      <c r="C224" s="325" t="s">
        <v>2378</v>
      </c>
      <c r="D224" s="326" t="s">
        <v>2045</v>
      </c>
      <c r="E224" s="327" t="s">
        <v>757</v>
      </c>
      <c r="F224" s="327"/>
      <c r="G224" s="327" t="s">
        <v>758</v>
      </c>
      <c r="H224" s="325" t="s">
        <v>2035</v>
      </c>
      <c r="I224" s="325" t="s">
        <v>228</v>
      </c>
      <c r="J224" s="328">
        <v>16</v>
      </c>
      <c r="K224" s="329">
        <v>1641</v>
      </c>
      <c r="L224" s="325" t="s">
        <v>2379</v>
      </c>
      <c r="M224" s="326" t="s">
        <v>3827</v>
      </c>
      <c r="N224" s="326" t="s">
        <v>2039</v>
      </c>
      <c r="O224" s="330">
        <v>390.12</v>
      </c>
      <c r="P224" s="330">
        <v>16.05</v>
      </c>
      <c r="Q224" s="331">
        <v>1641</v>
      </c>
      <c r="R224" s="330">
        <v>140000</v>
      </c>
      <c r="S224" s="330">
        <v>25000</v>
      </c>
      <c r="T224" s="326" t="s">
        <v>170</v>
      </c>
      <c r="U224" s="326" t="s">
        <v>2040</v>
      </c>
      <c r="V224" s="332" t="s">
        <v>2380</v>
      </c>
      <c r="W224" s="333" t="s">
        <v>2381</v>
      </c>
    </row>
    <row r="225" spans="1:263" ht="45" customHeight="1" x14ac:dyDescent="0.4">
      <c r="A225" s="323">
        <v>171141</v>
      </c>
      <c r="B225" s="324" t="s">
        <v>4260</v>
      </c>
      <c r="C225" s="325" t="s">
        <v>759</v>
      </c>
      <c r="D225" s="326" t="s">
        <v>2084</v>
      </c>
      <c r="E225" s="327" t="s">
        <v>4261</v>
      </c>
      <c r="F225" s="327"/>
      <c r="G225" s="327" t="s">
        <v>760</v>
      </c>
      <c r="H225" s="325" t="s">
        <v>2382</v>
      </c>
      <c r="I225" s="325" t="s">
        <v>2383</v>
      </c>
      <c r="J225" s="328">
        <v>44</v>
      </c>
      <c r="K225" s="329">
        <v>4427</v>
      </c>
      <c r="L225" s="325" t="s">
        <v>2384</v>
      </c>
      <c r="M225" s="326" t="s">
        <v>226</v>
      </c>
      <c r="N225" s="326"/>
      <c r="O225" s="330">
        <v>413.37</v>
      </c>
      <c r="P225" s="330">
        <v>3.82</v>
      </c>
      <c r="Q225" s="331">
        <v>4427</v>
      </c>
      <c r="R225" s="330">
        <v>31000</v>
      </c>
      <c r="S225" s="330">
        <v>2100</v>
      </c>
      <c r="T225" s="326" t="s">
        <v>170</v>
      </c>
      <c r="U225" s="326" t="s">
        <v>2040</v>
      </c>
      <c r="V225" s="332">
        <v>44223</v>
      </c>
      <c r="W225" s="333">
        <v>14345</v>
      </c>
      <c r="X225" s="322"/>
      <c r="Y225" s="322"/>
      <c r="Z225" s="322"/>
      <c r="AA225" s="322"/>
      <c r="AB225" s="322"/>
      <c r="AC225" s="322"/>
      <c r="AD225" s="322"/>
      <c r="AE225" s="322"/>
      <c r="AF225" s="322"/>
      <c r="AG225" s="322"/>
      <c r="AH225" s="322"/>
      <c r="AI225" s="322"/>
      <c r="AJ225" s="322"/>
      <c r="AK225" s="322"/>
      <c r="AL225" s="322"/>
      <c r="AM225" s="322"/>
      <c r="AN225" s="322"/>
      <c r="AO225" s="322"/>
      <c r="AP225" s="322"/>
      <c r="AQ225" s="322"/>
      <c r="AR225" s="322"/>
      <c r="AS225" s="322"/>
      <c r="AT225" s="322"/>
      <c r="AU225" s="322"/>
      <c r="AV225" s="322"/>
      <c r="AW225" s="322"/>
      <c r="AX225" s="322"/>
      <c r="AY225" s="322"/>
      <c r="AZ225" s="322"/>
      <c r="BA225" s="322"/>
      <c r="BB225" s="322"/>
      <c r="BC225" s="322"/>
      <c r="BD225" s="322"/>
      <c r="BE225" s="322"/>
      <c r="BF225" s="322"/>
      <c r="BG225" s="322"/>
      <c r="BH225" s="322"/>
      <c r="BI225" s="322"/>
      <c r="BJ225" s="322"/>
      <c r="BK225" s="322"/>
      <c r="BL225" s="322"/>
      <c r="BM225" s="322"/>
      <c r="BN225" s="322"/>
      <c r="BO225" s="322"/>
      <c r="BP225" s="322"/>
      <c r="BQ225" s="322"/>
      <c r="BR225" s="322"/>
      <c r="BS225" s="322"/>
      <c r="BT225" s="322"/>
      <c r="BU225" s="322"/>
      <c r="BV225" s="322"/>
      <c r="BW225" s="322"/>
      <c r="BX225" s="322"/>
      <c r="BY225" s="322"/>
      <c r="BZ225" s="322"/>
      <c r="CA225" s="322"/>
      <c r="CB225" s="322"/>
      <c r="CC225" s="322"/>
      <c r="CD225" s="322"/>
      <c r="CE225" s="322"/>
      <c r="CF225" s="322"/>
      <c r="CG225" s="322"/>
      <c r="CH225" s="322"/>
      <c r="CI225" s="322"/>
      <c r="CJ225" s="322"/>
      <c r="CK225" s="322"/>
      <c r="CL225" s="322"/>
      <c r="CM225" s="322"/>
      <c r="CN225" s="322"/>
      <c r="CO225" s="322"/>
      <c r="CP225" s="322"/>
      <c r="CQ225" s="322"/>
      <c r="CR225" s="322"/>
      <c r="CS225" s="322"/>
      <c r="CT225" s="322"/>
      <c r="CU225" s="322"/>
      <c r="CV225" s="322"/>
      <c r="CW225" s="322"/>
      <c r="CX225" s="322"/>
      <c r="CY225" s="322"/>
      <c r="CZ225" s="322"/>
      <c r="DA225" s="322"/>
      <c r="DB225" s="322"/>
      <c r="DC225" s="322"/>
      <c r="DD225" s="322"/>
      <c r="DE225" s="322"/>
      <c r="DF225" s="322"/>
      <c r="DG225" s="322"/>
      <c r="DH225" s="322"/>
      <c r="DI225" s="322"/>
      <c r="DJ225" s="322"/>
      <c r="DK225" s="322"/>
      <c r="DL225" s="322"/>
      <c r="DM225" s="322"/>
      <c r="DN225" s="322"/>
      <c r="DO225" s="322"/>
      <c r="DP225" s="322"/>
      <c r="DQ225" s="322"/>
      <c r="DR225" s="322"/>
      <c r="DS225" s="322"/>
      <c r="DT225" s="322"/>
      <c r="DU225" s="322"/>
      <c r="DV225" s="322"/>
      <c r="DW225" s="322"/>
      <c r="DX225" s="322"/>
      <c r="DY225" s="322"/>
      <c r="DZ225" s="322"/>
      <c r="EA225" s="322"/>
      <c r="EB225" s="322"/>
      <c r="EC225" s="322"/>
      <c r="ED225" s="322"/>
      <c r="EE225" s="322"/>
      <c r="EF225" s="322"/>
      <c r="EG225" s="322"/>
      <c r="EH225" s="322"/>
      <c r="EI225" s="322"/>
      <c r="EJ225" s="322"/>
      <c r="EK225" s="322"/>
      <c r="EL225" s="322"/>
      <c r="EM225" s="322"/>
      <c r="EN225" s="322"/>
      <c r="EO225" s="322"/>
      <c r="EP225" s="322"/>
      <c r="EQ225" s="322"/>
      <c r="ER225" s="322"/>
      <c r="ES225" s="322"/>
      <c r="ET225" s="322"/>
      <c r="EU225" s="322"/>
      <c r="EV225" s="322"/>
      <c r="EW225" s="322"/>
      <c r="EX225" s="322"/>
      <c r="EY225" s="322"/>
      <c r="EZ225" s="322"/>
      <c r="FA225" s="322"/>
      <c r="FB225" s="322"/>
      <c r="FC225" s="322"/>
      <c r="FD225" s="322"/>
      <c r="FE225" s="322"/>
      <c r="FF225" s="322"/>
      <c r="FG225" s="322"/>
      <c r="FH225" s="322"/>
      <c r="FI225" s="322"/>
      <c r="FJ225" s="322"/>
      <c r="FK225" s="322"/>
      <c r="FL225" s="322"/>
      <c r="FM225" s="322"/>
      <c r="FN225" s="322"/>
      <c r="FO225" s="322"/>
      <c r="FP225" s="322"/>
      <c r="FQ225" s="322"/>
      <c r="FR225" s="322"/>
      <c r="FS225" s="322"/>
      <c r="FT225" s="322"/>
      <c r="FU225" s="322"/>
      <c r="FV225" s="322"/>
      <c r="FW225" s="322"/>
      <c r="FX225" s="322"/>
      <c r="FY225" s="322"/>
      <c r="FZ225" s="322"/>
      <c r="GA225" s="322"/>
      <c r="GB225" s="322"/>
      <c r="GC225" s="322"/>
      <c r="GD225" s="322"/>
      <c r="GE225" s="322"/>
      <c r="GF225" s="322"/>
      <c r="GG225" s="322"/>
      <c r="GH225" s="322"/>
      <c r="GI225" s="322"/>
      <c r="GJ225" s="322"/>
      <c r="GK225" s="322"/>
      <c r="GL225" s="322"/>
      <c r="GM225" s="322"/>
      <c r="GN225" s="322"/>
      <c r="GO225" s="322"/>
      <c r="GP225" s="322"/>
      <c r="GQ225" s="322"/>
      <c r="GR225" s="322"/>
      <c r="GS225" s="322"/>
      <c r="GT225" s="322"/>
      <c r="GU225" s="322"/>
      <c r="GV225" s="322"/>
      <c r="GW225" s="322"/>
      <c r="GX225" s="322"/>
      <c r="GY225" s="322"/>
      <c r="GZ225" s="322"/>
      <c r="HA225" s="322"/>
      <c r="HB225" s="322"/>
      <c r="HC225" s="322"/>
      <c r="HD225" s="322"/>
      <c r="HE225" s="322"/>
      <c r="HF225" s="322"/>
      <c r="HG225" s="322"/>
      <c r="HH225" s="322"/>
      <c r="HI225" s="322"/>
      <c r="HJ225" s="322"/>
      <c r="HK225" s="322"/>
      <c r="HL225" s="322"/>
      <c r="HM225" s="322"/>
      <c r="HN225" s="322"/>
      <c r="HO225" s="322"/>
      <c r="HP225" s="322"/>
      <c r="HQ225" s="322"/>
      <c r="HR225" s="322"/>
      <c r="HS225" s="322"/>
      <c r="HT225" s="322"/>
      <c r="HU225" s="322"/>
      <c r="HV225" s="322"/>
      <c r="HW225" s="322"/>
      <c r="HX225" s="322"/>
      <c r="HY225" s="322"/>
      <c r="HZ225" s="322"/>
      <c r="IA225" s="322"/>
      <c r="IB225" s="322"/>
      <c r="IC225" s="322"/>
      <c r="ID225" s="322"/>
      <c r="IE225" s="322"/>
      <c r="IF225" s="322"/>
      <c r="IG225" s="322"/>
      <c r="IH225" s="322"/>
      <c r="II225" s="322"/>
      <c r="IJ225" s="322"/>
      <c r="IK225" s="322"/>
      <c r="IL225" s="322"/>
      <c r="IM225" s="322"/>
      <c r="IN225" s="322"/>
      <c r="IO225" s="322"/>
      <c r="IP225" s="322"/>
      <c r="IQ225" s="322"/>
      <c r="IR225" s="322"/>
      <c r="IS225" s="322"/>
      <c r="IT225" s="322"/>
      <c r="IU225" s="322"/>
      <c r="IV225" s="322"/>
      <c r="IW225" s="322"/>
      <c r="IX225" s="322"/>
      <c r="IY225" s="322"/>
      <c r="IZ225" s="322"/>
      <c r="JA225" s="322"/>
      <c r="JB225" s="322"/>
      <c r="JC225" s="322"/>
    </row>
    <row r="226" spans="1:263" ht="45" customHeight="1" x14ac:dyDescent="0.4">
      <c r="A226" s="323">
        <v>171152</v>
      </c>
      <c r="B226" s="324" t="s">
        <v>4262</v>
      </c>
      <c r="C226" s="325" t="s">
        <v>2385</v>
      </c>
      <c r="D226" s="326" t="s">
        <v>2084</v>
      </c>
      <c r="E226" s="327" t="s">
        <v>761</v>
      </c>
      <c r="F226" s="327" t="s">
        <v>3828</v>
      </c>
      <c r="G226" s="327" t="s">
        <v>762</v>
      </c>
      <c r="H226" s="325" t="s">
        <v>2386</v>
      </c>
      <c r="I226" s="325" t="s">
        <v>2387</v>
      </c>
      <c r="J226" s="328">
        <v>17</v>
      </c>
      <c r="K226" s="329">
        <v>1711</v>
      </c>
      <c r="L226" s="325" t="s">
        <v>2388</v>
      </c>
      <c r="M226" s="326" t="s">
        <v>226</v>
      </c>
      <c r="N226" s="326"/>
      <c r="O226" s="330">
        <v>470</v>
      </c>
      <c r="P226" s="330">
        <v>6.15</v>
      </c>
      <c r="Q226" s="331">
        <v>1711</v>
      </c>
      <c r="R226" s="330">
        <v>210000</v>
      </c>
      <c r="S226" s="330">
        <v>12000</v>
      </c>
      <c r="T226" s="326" t="s">
        <v>170</v>
      </c>
      <c r="U226" s="326" t="s">
        <v>2040</v>
      </c>
      <c r="V226" s="332">
        <v>17120</v>
      </c>
      <c r="W226" s="333">
        <v>17110</v>
      </c>
    </row>
    <row r="227" spans="1:263" ht="45" customHeight="1" x14ac:dyDescent="0.4">
      <c r="A227" s="323">
        <v>171155</v>
      </c>
      <c r="B227" s="324" t="s">
        <v>4263</v>
      </c>
      <c r="C227" s="325" t="s">
        <v>2389</v>
      </c>
      <c r="D227" s="326" t="s">
        <v>2084</v>
      </c>
      <c r="E227" s="327" t="s">
        <v>763</v>
      </c>
      <c r="F227" s="327"/>
      <c r="G227" s="327" t="s">
        <v>764</v>
      </c>
      <c r="H227" s="325" t="s">
        <v>2390</v>
      </c>
      <c r="I227" s="325" t="s">
        <v>2391</v>
      </c>
      <c r="J227" s="328">
        <v>76</v>
      </c>
      <c r="K227" s="329">
        <v>7601</v>
      </c>
      <c r="L227" s="325" t="s">
        <v>2392</v>
      </c>
      <c r="M227" s="326" t="s">
        <v>226</v>
      </c>
      <c r="N227" s="326"/>
      <c r="O227" s="330">
        <v>423.05</v>
      </c>
      <c r="P227" s="330">
        <v>4.04</v>
      </c>
      <c r="Q227" s="331">
        <v>7601</v>
      </c>
      <c r="R227" s="330">
        <v>86000</v>
      </c>
      <c r="S227" s="330">
        <v>19000</v>
      </c>
      <c r="T227" s="326" t="s">
        <v>170</v>
      </c>
      <c r="U227" s="326" t="s">
        <v>2040</v>
      </c>
      <c r="V227" s="332">
        <v>74035</v>
      </c>
      <c r="W227" s="333">
        <v>76010</v>
      </c>
    </row>
    <row r="228" spans="1:263" ht="45" customHeight="1" x14ac:dyDescent="0.4">
      <c r="A228" s="323">
        <v>171157</v>
      </c>
      <c r="B228" s="324" t="s">
        <v>4264</v>
      </c>
      <c r="C228" s="325" t="s">
        <v>4265</v>
      </c>
      <c r="D228" s="326" t="s">
        <v>2084</v>
      </c>
      <c r="E228" s="327" t="s">
        <v>4266</v>
      </c>
      <c r="F228" s="327" t="s">
        <v>3829</v>
      </c>
      <c r="G228" s="327" t="s">
        <v>765</v>
      </c>
      <c r="H228" s="325" t="s">
        <v>2386</v>
      </c>
      <c r="I228" s="325" t="s">
        <v>2387</v>
      </c>
      <c r="J228" s="328">
        <v>74</v>
      </c>
      <c r="K228" s="329" t="s">
        <v>4267</v>
      </c>
      <c r="L228" s="325" t="s">
        <v>3237</v>
      </c>
      <c r="M228" s="326" t="s">
        <v>226</v>
      </c>
      <c r="N228" s="326"/>
      <c r="O228" s="330">
        <v>202.92</v>
      </c>
      <c r="P228" s="330">
        <v>5.12</v>
      </c>
      <c r="Q228" s="331">
        <v>7422</v>
      </c>
      <c r="R228" s="330">
        <v>45000</v>
      </c>
      <c r="S228" s="330">
        <v>13000</v>
      </c>
      <c r="T228" s="326" t="s">
        <v>170</v>
      </c>
      <c r="U228" s="326" t="s">
        <v>2040</v>
      </c>
      <c r="V228" s="332">
        <v>17125</v>
      </c>
      <c r="W228" s="333">
        <v>17130</v>
      </c>
    </row>
    <row r="229" spans="1:263" ht="45" customHeight="1" x14ac:dyDescent="0.4">
      <c r="A229" s="323">
        <v>171158</v>
      </c>
      <c r="B229" s="324" t="s">
        <v>4268</v>
      </c>
      <c r="C229" s="325" t="s">
        <v>766</v>
      </c>
      <c r="D229" s="326" t="s">
        <v>2084</v>
      </c>
      <c r="E229" s="327" t="s">
        <v>767</v>
      </c>
      <c r="F229" s="327"/>
      <c r="G229" s="327" t="s">
        <v>768</v>
      </c>
      <c r="H229" s="325" t="s">
        <v>2236</v>
      </c>
      <c r="I229" s="325" t="s">
        <v>228</v>
      </c>
      <c r="J229" s="328">
        <v>17</v>
      </c>
      <c r="K229" s="329">
        <v>1713</v>
      </c>
      <c r="L229" s="325" t="s">
        <v>2394</v>
      </c>
      <c r="M229" s="326" t="s">
        <v>226</v>
      </c>
      <c r="N229" s="326"/>
      <c r="O229" s="330">
        <v>607.12</v>
      </c>
      <c r="P229" s="330">
        <v>6.9</v>
      </c>
      <c r="Q229" s="331">
        <v>1713</v>
      </c>
      <c r="R229" s="330">
        <v>31000</v>
      </c>
      <c r="S229" s="330">
        <v>10000</v>
      </c>
      <c r="T229" s="326" t="s">
        <v>170</v>
      </c>
      <c r="U229" s="326" t="s">
        <v>2040</v>
      </c>
      <c r="V229" s="332">
        <v>17115</v>
      </c>
      <c r="W229" s="333"/>
    </row>
    <row r="230" spans="1:263" ht="45" customHeight="1" x14ac:dyDescent="0.4">
      <c r="A230" s="323">
        <v>171211</v>
      </c>
      <c r="B230" s="324" t="s">
        <v>4269</v>
      </c>
      <c r="C230" s="325" t="s">
        <v>2395</v>
      </c>
      <c r="D230" s="326" t="s">
        <v>2084</v>
      </c>
      <c r="E230" s="327" t="s">
        <v>3711</v>
      </c>
      <c r="F230" s="327"/>
      <c r="G230" s="327" t="s">
        <v>769</v>
      </c>
      <c r="H230" s="325" t="s">
        <v>2396</v>
      </c>
      <c r="I230" s="325" t="s">
        <v>2397</v>
      </c>
      <c r="J230" s="328">
        <v>17</v>
      </c>
      <c r="K230" s="329">
        <v>1711</v>
      </c>
      <c r="L230" s="325" t="s">
        <v>2388</v>
      </c>
      <c r="M230" s="326" t="s">
        <v>226</v>
      </c>
      <c r="N230" s="326"/>
      <c r="O230" s="330">
        <v>470</v>
      </c>
      <c r="P230" s="330">
        <v>6.15</v>
      </c>
      <c r="Q230" s="331">
        <v>1711</v>
      </c>
      <c r="R230" s="330">
        <v>210000</v>
      </c>
      <c r="S230" s="330">
        <v>12000</v>
      </c>
      <c r="T230" s="326" t="s">
        <v>170</v>
      </c>
      <c r="U230" s="326" t="s">
        <v>2040</v>
      </c>
      <c r="V230" s="332">
        <v>17120</v>
      </c>
      <c r="W230" s="333">
        <v>17110</v>
      </c>
    </row>
    <row r="231" spans="1:263" ht="45" customHeight="1" x14ac:dyDescent="0.4">
      <c r="A231" s="323">
        <v>171212</v>
      </c>
      <c r="B231" s="324" t="s">
        <v>4270</v>
      </c>
      <c r="C231" s="325" t="s">
        <v>2398</v>
      </c>
      <c r="D231" s="326" t="s">
        <v>2084</v>
      </c>
      <c r="E231" s="327" t="s">
        <v>770</v>
      </c>
      <c r="F231" s="327"/>
      <c r="G231" s="327" t="s">
        <v>771</v>
      </c>
      <c r="H231" s="325" t="s">
        <v>2399</v>
      </c>
      <c r="I231" s="325" t="s">
        <v>2400</v>
      </c>
      <c r="J231" s="328">
        <v>17</v>
      </c>
      <c r="K231" s="329">
        <v>1721</v>
      </c>
      <c r="L231" s="325" t="s">
        <v>2401</v>
      </c>
      <c r="M231" s="326" t="s">
        <v>226</v>
      </c>
      <c r="N231" s="326"/>
      <c r="O231" s="330">
        <v>1023</v>
      </c>
      <c r="P231" s="330">
        <v>7.37</v>
      </c>
      <c r="Q231" s="331">
        <v>1721</v>
      </c>
      <c r="R231" s="330">
        <v>170000</v>
      </c>
      <c r="S231" s="330">
        <v>12000</v>
      </c>
      <c r="T231" s="326" t="s">
        <v>170</v>
      </c>
      <c r="U231" s="326" t="s">
        <v>2040</v>
      </c>
      <c r="V231" s="332"/>
      <c r="W231" s="333">
        <v>17135</v>
      </c>
    </row>
    <row r="232" spans="1:263" ht="45" customHeight="1" x14ac:dyDescent="0.4">
      <c r="A232" s="323">
        <v>171214</v>
      </c>
      <c r="B232" s="324" t="s">
        <v>4271</v>
      </c>
      <c r="C232" s="325" t="s">
        <v>2402</v>
      </c>
      <c r="D232" s="326" t="s">
        <v>2084</v>
      </c>
      <c r="E232" s="327" t="s">
        <v>772</v>
      </c>
      <c r="F232" s="327" t="s">
        <v>4272</v>
      </c>
      <c r="G232" s="327" t="s">
        <v>773</v>
      </c>
      <c r="H232" s="325" t="s">
        <v>2403</v>
      </c>
      <c r="I232" s="325" t="s">
        <v>2397</v>
      </c>
      <c r="J232" s="328">
        <v>17</v>
      </c>
      <c r="K232" s="329">
        <v>1722</v>
      </c>
      <c r="L232" s="325" t="s">
        <v>2404</v>
      </c>
      <c r="M232" s="326" t="s">
        <v>226</v>
      </c>
      <c r="N232" s="326"/>
      <c r="O232" s="330">
        <v>1023</v>
      </c>
      <c r="P232" s="330">
        <v>4.9400000000000004</v>
      </c>
      <c r="Q232" s="331">
        <v>1722</v>
      </c>
      <c r="R232" s="330">
        <v>29000</v>
      </c>
      <c r="S232" s="330">
        <v>13000</v>
      </c>
      <c r="T232" s="326" t="s">
        <v>170</v>
      </c>
      <c r="U232" s="326" t="s">
        <v>2040</v>
      </c>
      <c r="V232" s="332"/>
      <c r="W232" s="333"/>
    </row>
    <row r="233" spans="1:263" ht="45" customHeight="1" x14ac:dyDescent="0.4">
      <c r="A233" s="323">
        <v>171250</v>
      </c>
      <c r="B233" s="324" t="s">
        <v>4273</v>
      </c>
      <c r="C233" s="325" t="s">
        <v>2405</v>
      </c>
      <c r="D233" s="326" t="s">
        <v>2084</v>
      </c>
      <c r="E233" s="327" t="s">
        <v>4274</v>
      </c>
      <c r="F233" s="327"/>
      <c r="G233" s="327" t="s">
        <v>4275</v>
      </c>
      <c r="H233" s="325" t="e">
        <v>#N/A</v>
      </c>
      <c r="I233" s="325" t="e">
        <v>#N/A</v>
      </c>
      <c r="J233" s="326">
        <v>17</v>
      </c>
      <c r="K233" s="329">
        <v>1715</v>
      </c>
      <c r="L233" s="325" t="s">
        <v>2393</v>
      </c>
      <c r="M233" s="326" t="s">
        <v>226</v>
      </c>
      <c r="N233" s="326"/>
      <c r="O233" s="330">
        <v>466</v>
      </c>
      <c r="P233" s="330">
        <v>3.03</v>
      </c>
      <c r="Q233" s="331">
        <v>1715</v>
      </c>
      <c r="R233" s="330">
        <v>120000</v>
      </c>
      <c r="S233" s="330">
        <v>40000</v>
      </c>
      <c r="T233" s="326" t="s">
        <v>170</v>
      </c>
      <c r="U233" s="326" t="s">
        <v>2040</v>
      </c>
      <c r="V233" s="332">
        <v>17126</v>
      </c>
      <c r="W233" s="333">
        <v>17130</v>
      </c>
    </row>
    <row r="234" spans="1:263" ht="45" customHeight="1" x14ac:dyDescent="0.4">
      <c r="A234" s="323">
        <v>171260</v>
      </c>
      <c r="B234" s="324" t="s">
        <v>4276</v>
      </c>
      <c r="C234" s="325" t="s">
        <v>3830</v>
      </c>
      <c r="D234" s="326" t="s">
        <v>2084</v>
      </c>
      <c r="E234" s="327" t="s">
        <v>4277</v>
      </c>
      <c r="F234" s="327"/>
      <c r="G234" s="327" t="s">
        <v>383</v>
      </c>
      <c r="H234" s="325"/>
      <c r="I234" s="325"/>
      <c r="J234" s="328">
        <v>17</v>
      </c>
      <c r="K234" s="329">
        <v>1715</v>
      </c>
      <c r="L234" s="325" t="s">
        <v>2393</v>
      </c>
      <c r="M234" s="326" t="s">
        <v>226</v>
      </c>
      <c r="N234" s="326"/>
      <c r="O234" s="330">
        <v>466</v>
      </c>
      <c r="P234" s="330">
        <v>3.03</v>
      </c>
      <c r="Q234" s="331">
        <v>1715</v>
      </c>
      <c r="R234" s="330">
        <v>120000</v>
      </c>
      <c r="S234" s="330">
        <v>40000</v>
      </c>
      <c r="T234" s="326" t="s">
        <v>170</v>
      </c>
      <c r="U234" s="326" t="s">
        <v>2040</v>
      </c>
      <c r="V234" s="332"/>
      <c r="W234" s="333"/>
    </row>
    <row r="235" spans="1:263" ht="45" customHeight="1" x14ac:dyDescent="0.4">
      <c r="A235" s="323">
        <v>171356</v>
      </c>
      <c r="B235" s="324" t="s">
        <v>4278</v>
      </c>
      <c r="C235" s="325" t="s">
        <v>2406</v>
      </c>
      <c r="D235" s="326" t="s">
        <v>2084</v>
      </c>
      <c r="E235" s="327" t="s">
        <v>774</v>
      </c>
      <c r="F235" s="327"/>
      <c r="G235" s="327" t="s">
        <v>775</v>
      </c>
      <c r="H235" s="325" t="s">
        <v>2386</v>
      </c>
      <c r="I235" s="325" t="s">
        <v>2407</v>
      </c>
      <c r="J235" s="328">
        <v>61</v>
      </c>
      <c r="K235" s="329">
        <v>6100</v>
      </c>
      <c r="L235" s="325" t="s">
        <v>2408</v>
      </c>
      <c r="M235" s="326" t="s">
        <v>226</v>
      </c>
      <c r="N235" s="326"/>
      <c r="O235" s="330">
        <v>587</v>
      </c>
      <c r="P235" s="330">
        <v>4.5999999999999996</v>
      </c>
      <c r="Q235" s="331">
        <v>6100</v>
      </c>
      <c r="R235" s="330">
        <v>1000000</v>
      </c>
      <c r="S235" s="330">
        <v>8400</v>
      </c>
      <c r="T235" s="326" t="s">
        <v>170</v>
      </c>
      <c r="U235" s="326" t="s">
        <v>2040</v>
      </c>
      <c r="V235" s="332">
        <v>61065</v>
      </c>
      <c r="W235" s="333">
        <v>61077</v>
      </c>
    </row>
    <row r="236" spans="1:263" ht="45" customHeight="1" x14ac:dyDescent="0.4">
      <c r="A236" s="323">
        <v>171393</v>
      </c>
      <c r="B236" s="324" t="s">
        <v>4279</v>
      </c>
      <c r="C236" s="325" t="s">
        <v>2409</v>
      </c>
      <c r="D236" s="326" t="s">
        <v>2084</v>
      </c>
      <c r="E236" s="327" t="s">
        <v>776</v>
      </c>
      <c r="F236" s="327"/>
      <c r="G236" s="327" t="s">
        <v>775</v>
      </c>
      <c r="H236" s="325" t="s">
        <v>2396</v>
      </c>
      <c r="I236" s="325" t="s">
        <v>2397</v>
      </c>
      <c r="J236" s="328">
        <v>17</v>
      </c>
      <c r="K236" s="329">
        <v>1712</v>
      </c>
      <c r="L236" s="325" t="s">
        <v>2410</v>
      </c>
      <c r="M236" s="326" t="s">
        <v>226</v>
      </c>
      <c r="N236" s="326"/>
      <c r="O236" s="330">
        <v>772</v>
      </c>
      <c r="P236" s="330">
        <v>4.46</v>
      </c>
      <c r="Q236" s="331">
        <v>1712</v>
      </c>
      <c r="R236" s="330">
        <v>220000</v>
      </c>
      <c r="S236" s="330">
        <v>13000</v>
      </c>
      <c r="T236" s="326" t="s">
        <v>170</v>
      </c>
      <c r="U236" s="326" t="s">
        <v>2040</v>
      </c>
      <c r="V236" s="332">
        <v>17136</v>
      </c>
      <c r="W236" s="333">
        <v>17120</v>
      </c>
    </row>
    <row r="237" spans="1:263" ht="45" customHeight="1" x14ac:dyDescent="0.4">
      <c r="A237" s="323">
        <v>171443</v>
      </c>
      <c r="B237" s="324" t="s">
        <v>4280</v>
      </c>
      <c r="C237" s="325" t="s">
        <v>2411</v>
      </c>
      <c r="D237" s="326" t="s">
        <v>2084</v>
      </c>
      <c r="E237" s="327" t="s">
        <v>777</v>
      </c>
      <c r="F237" s="327"/>
      <c r="G237" s="327" t="s">
        <v>778</v>
      </c>
      <c r="H237" s="325" t="s">
        <v>2412</v>
      </c>
      <c r="I237" s="325" t="s">
        <v>228</v>
      </c>
      <c r="J237" s="328">
        <v>17</v>
      </c>
      <c r="K237" s="329">
        <v>1714</v>
      </c>
      <c r="L237" s="325" t="s">
        <v>2413</v>
      </c>
      <c r="M237" s="326" t="s">
        <v>226</v>
      </c>
      <c r="N237" s="326"/>
      <c r="O237" s="330">
        <v>550</v>
      </c>
      <c r="P237" s="330">
        <v>7.44</v>
      </c>
      <c r="Q237" s="331">
        <v>1714</v>
      </c>
      <c r="R237" s="330">
        <v>210000</v>
      </c>
      <c r="S237" s="330">
        <v>26000</v>
      </c>
      <c r="T237" s="326" t="s">
        <v>170</v>
      </c>
      <c r="U237" s="326" t="s">
        <v>2040</v>
      </c>
      <c r="V237" s="332" t="s">
        <v>2414</v>
      </c>
      <c r="W237" s="333">
        <v>17115</v>
      </c>
    </row>
    <row r="238" spans="1:263" ht="45" customHeight="1" x14ac:dyDescent="0.4">
      <c r="A238" s="323">
        <v>171445</v>
      </c>
      <c r="B238" s="324" t="s">
        <v>4281</v>
      </c>
      <c r="C238" s="325" t="s">
        <v>2415</v>
      </c>
      <c r="D238" s="326" t="s">
        <v>2084</v>
      </c>
      <c r="E238" s="327" t="s">
        <v>779</v>
      </c>
      <c r="F238" s="327"/>
      <c r="G238" s="327" t="s">
        <v>780</v>
      </c>
      <c r="H238" s="325" t="s">
        <v>2412</v>
      </c>
      <c r="I238" s="325" t="s">
        <v>228</v>
      </c>
      <c r="J238" s="328">
        <v>17</v>
      </c>
      <c r="K238" s="329">
        <v>1714</v>
      </c>
      <c r="L238" s="325" t="s">
        <v>2413</v>
      </c>
      <c r="M238" s="326" t="s">
        <v>226</v>
      </c>
      <c r="N238" s="326"/>
      <c r="O238" s="330">
        <v>550</v>
      </c>
      <c r="P238" s="330">
        <v>7.44</v>
      </c>
      <c r="Q238" s="331">
        <v>1714</v>
      </c>
      <c r="R238" s="330">
        <v>210000</v>
      </c>
      <c r="S238" s="330">
        <v>26000</v>
      </c>
      <c r="T238" s="326" t="s">
        <v>170</v>
      </c>
      <c r="U238" s="326" t="s">
        <v>2040</v>
      </c>
      <c r="V238" s="332" t="s">
        <v>2414</v>
      </c>
      <c r="W238" s="333">
        <v>17115</v>
      </c>
    </row>
    <row r="239" spans="1:263" ht="45" customHeight="1" x14ac:dyDescent="0.4">
      <c r="A239" s="323">
        <v>171447</v>
      </c>
      <c r="B239" s="324" t="s">
        <v>4282</v>
      </c>
      <c r="C239" s="325" t="s">
        <v>2416</v>
      </c>
      <c r="D239" s="326" t="s">
        <v>2084</v>
      </c>
      <c r="E239" s="327" t="s">
        <v>781</v>
      </c>
      <c r="F239" s="327"/>
      <c r="G239" s="327" t="s">
        <v>782</v>
      </c>
      <c r="H239" s="325" t="s">
        <v>2412</v>
      </c>
      <c r="I239" s="325" t="s">
        <v>228</v>
      </c>
      <c r="J239" s="328">
        <v>17</v>
      </c>
      <c r="K239" s="329">
        <v>1711</v>
      </c>
      <c r="L239" s="325" t="s">
        <v>2388</v>
      </c>
      <c r="M239" s="326" t="s">
        <v>226</v>
      </c>
      <c r="N239" s="326"/>
      <c r="O239" s="330">
        <v>470</v>
      </c>
      <c r="P239" s="330">
        <v>6.15</v>
      </c>
      <c r="Q239" s="331">
        <v>1711</v>
      </c>
      <c r="R239" s="330">
        <v>210000</v>
      </c>
      <c r="S239" s="330">
        <v>12000</v>
      </c>
      <c r="T239" s="326" t="s">
        <v>170</v>
      </c>
      <c r="U239" s="326" t="s">
        <v>2040</v>
      </c>
      <c r="V239" s="332">
        <v>17120</v>
      </c>
      <c r="W239" s="333">
        <v>17110</v>
      </c>
    </row>
    <row r="240" spans="1:263" ht="45" customHeight="1" x14ac:dyDescent="0.4">
      <c r="A240" s="323">
        <v>171449</v>
      </c>
      <c r="B240" s="324" t="s">
        <v>4283</v>
      </c>
      <c r="C240" s="325" t="s">
        <v>2417</v>
      </c>
      <c r="D240" s="326" t="s">
        <v>2084</v>
      </c>
      <c r="E240" s="327" t="s">
        <v>783</v>
      </c>
      <c r="F240" s="327"/>
      <c r="G240" s="327" t="s">
        <v>784</v>
      </c>
      <c r="H240" s="325" t="s">
        <v>2412</v>
      </c>
      <c r="I240" s="325" t="s">
        <v>228</v>
      </c>
      <c r="J240" s="328">
        <v>17</v>
      </c>
      <c r="K240" s="329">
        <v>1711</v>
      </c>
      <c r="L240" s="325" t="s">
        <v>2388</v>
      </c>
      <c r="M240" s="326" t="s">
        <v>226</v>
      </c>
      <c r="N240" s="326"/>
      <c r="O240" s="330">
        <v>470</v>
      </c>
      <c r="P240" s="330">
        <v>6.15</v>
      </c>
      <c r="Q240" s="331">
        <v>1711</v>
      </c>
      <c r="R240" s="330">
        <v>210000</v>
      </c>
      <c r="S240" s="330">
        <v>12000</v>
      </c>
      <c r="T240" s="326" t="s">
        <v>170</v>
      </c>
      <c r="U240" s="326" t="s">
        <v>2040</v>
      </c>
      <c r="V240" s="332">
        <v>17120</v>
      </c>
      <c r="W240" s="333">
        <v>17110</v>
      </c>
    </row>
    <row r="241" spans="1:23" ht="45" customHeight="1" x14ac:dyDescent="0.4">
      <c r="A241" s="323">
        <v>171450</v>
      </c>
      <c r="B241" s="324" t="s">
        <v>4284</v>
      </c>
      <c r="C241" s="325" t="s">
        <v>2418</v>
      </c>
      <c r="D241" s="326" t="s">
        <v>2084</v>
      </c>
      <c r="E241" s="327" t="s">
        <v>785</v>
      </c>
      <c r="F241" s="327"/>
      <c r="G241" s="327" t="s">
        <v>786</v>
      </c>
      <c r="H241" s="325" t="s">
        <v>2412</v>
      </c>
      <c r="I241" s="325" t="s">
        <v>228</v>
      </c>
      <c r="J241" s="328">
        <v>17</v>
      </c>
      <c r="K241" s="329">
        <v>1714</v>
      </c>
      <c r="L241" s="325" t="s">
        <v>2413</v>
      </c>
      <c r="M241" s="326" t="s">
        <v>226</v>
      </c>
      <c r="N241" s="326"/>
      <c r="O241" s="330">
        <v>550</v>
      </c>
      <c r="P241" s="330">
        <v>7.44</v>
      </c>
      <c r="Q241" s="331">
        <v>1714</v>
      </c>
      <c r="R241" s="330">
        <v>210000</v>
      </c>
      <c r="S241" s="330">
        <v>26000</v>
      </c>
      <c r="T241" s="326" t="s">
        <v>170</v>
      </c>
      <c r="U241" s="326" t="s">
        <v>2040</v>
      </c>
      <c r="V241" s="332" t="s">
        <v>2414</v>
      </c>
      <c r="W241" s="333">
        <v>17115</v>
      </c>
    </row>
    <row r="242" spans="1:23" ht="45" customHeight="1" x14ac:dyDescent="0.4">
      <c r="A242" s="323">
        <v>171471</v>
      </c>
      <c r="B242" s="324" t="s">
        <v>4285</v>
      </c>
      <c r="C242" s="325" t="s">
        <v>2419</v>
      </c>
      <c r="D242" s="326" t="s">
        <v>2084</v>
      </c>
      <c r="E242" s="327" t="s">
        <v>787</v>
      </c>
      <c r="F242" s="327"/>
      <c r="G242" s="327" t="s">
        <v>788</v>
      </c>
      <c r="H242" s="325" t="s">
        <v>2420</v>
      </c>
      <c r="I242" s="325" t="s">
        <v>2421</v>
      </c>
      <c r="J242" s="328">
        <v>17</v>
      </c>
      <c r="K242" s="329">
        <v>1731</v>
      </c>
      <c r="L242" s="325" t="s">
        <v>2422</v>
      </c>
      <c r="M242" s="326" t="s">
        <v>226</v>
      </c>
      <c r="N242" s="326"/>
      <c r="O242" s="330">
        <v>622.66999999999996</v>
      </c>
      <c r="P242" s="330">
        <v>2.89</v>
      </c>
      <c r="Q242" s="331">
        <v>1731</v>
      </c>
      <c r="R242" s="330">
        <v>37000</v>
      </c>
      <c r="S242" s="330">
        <v>1500</v>
      </c>
      <c r="T242" s="326" t="s">
        <v>170</v>
      </c>
      <c r="U242" s="326" t="s">
        <v>2040</v>
      </c>
      <c r="V242" s="332">
        <v>17122</v>
      </c>
      <c r="W242" s="333">
        <v>14315</v>
      </c>
    </row>
    <row r="243" spans="1:23" ht="45" customHeight="1" x14ac:dyDescent="0.4">
      <c r="A243" s="323">
        <v>171472</v>
      </c>
      <c r="B243" s="324" t="s">
        <v>4286</v>
      </c>
      <c r="C243" s="325" t="s">
        <v>2423</v>
      </c>
      <c r="D243" s="326" t="s">
        <v>2084</v>
      </c>
      <c r="E243" s="327" t="s">
        <v>789</v>
      </c>
      <c r="F243" s="327"/>
      <c r="G243" s="327" t="s">
        <v>790</v>
      </c>
      <c r="H243" s="325" t="s">
        <v>2420</v>
      </c>
      <c r="I243" s="325" t="s">
        <v>2421</v>
      </c>
      <c r="J243" s="328">
        <v>17</v>
      </c>
      <c r="K243" s="329">
        <v>1731</v>
      </c>
      <c r="L243" s="325" t="s">
        <v>2422</v>
      </c>
      <c r="M243" s="326" t="s">
        <v>226</v>
      </c>
      <c r="N243" s="326"/>
      <c r="O243" s="330">
        <v>622.66999999999996</v>
      </c>
      <c r="P243" s="330">
        <v>2.89</v>
      </c>
      <c r="Q243" s="331">
        <v>1731</v>
      </c>
      <c r="R243" s="330">
        <v>37000</v>
      </c>
      <c r="S243" s="330">
        <v>1500</v>
      </c>
      <c r="T243" s="326" t="s">
        <v>170</v>
      </c>
      <c r="U243" s="326" t="s">
        <v>2040</v>
      </c>
      <c r="V243" s="332">
        <v>17123</v>
      </c>
      <c r="W243" s="333">
        <v>17311</v>
      </c>
    </row>
    <row r="244" spans="1:23" ht="45" customHeight="1" x14ac:dyDescent="0.4">
      <c r="A244" s="323">
        <v>171473</v>
      </c>
      <c r="B244" s="324" t="s">
        <v>4287</v>
      </c>
      <c r="C244" s="325" t="s">
        <v>2424</v>
      </c>
      <c r="D244" s="326" t="s">
        <v>2084</v>
      </c>
      <c r="E244" s="327" t="s">
        <v>791</v>
      </c>
      <c r="F244" s="327"/>
      <c r="G244" s="327" t="s">
        <v>792</v>
      </c>
      <c r="H244" s="325" t="s">
        <v>2420</v>
      </c>
      <c r="I244" s="325" t="s">
        <v>2421</v>
      </c>
      <c r="J244" s="328">
        <v>17</v>
      </c>
      <c r="K244" s="329">
        <v>1731</v>
      </c>
      <c r="L244" s="325" t="s">
        <v>2422</v>
      </c>
      <c r="M244" s="326" t="s">
        <v>226</v>
      </c>
      <c r="N244" s="326"/>
      <c r="O244" s="330">
        <v>622.66999999999996</v>
      </c>
      <c r="P244" s="330">
        <v>2.89</v>
      </c>
      <c r="Q244" s="331">
        <v>1731</v>
      </c>
      <c r="R244" s="330">
        <v>37000</v>
      </c>
      <c r="S244" s="330">
        <v>1500</v>
      </c>
      <c r="T244" s="326" t="s">
        <v>170</v>
      </c>
      <c r="U244" s="326" t="s">
        <v>2040</v>
      </c>
      <c r="V244" s="332">
        <v>17123</v>
      </c>
      <c r="W244" s="333">
        <v>17311</v>
      </c>
    </row>
    <row r="245" spans="1:23" ht="45" customHeight="1" x14ac:dyDescent="0.4">
      <c r="A245" s="323">
        <v>171475</v>
      </c>
      <c r="B245" s="324" t="s">
        <v>4288</v>
      </c>
      <c r="C245" s="325" t="s">
        <v>2425</v>
      </c>
      <c r="D245" s="326" t="s">
        <v>2084</v>
      </c>
      <c r="E245" s="327" t="s">
        <v>4289</v>
      </c>
      <c r="F245" s="327"/>
      <c r="G245" s="327" t="s">
        <v>793</v>
      </c>
      <c r="H245" s="325" t="s">
        <v>2420</v>
      </c>
      <c r="I245" s="325" t="s">
        <v>2421</v>
      </c>
      <c r="J245" s="328">
        <v>17</v>
      </c>
      <c r="K245" s="329">
        <v>1718</v>
      </c>
      <c r="L245" s="325" t="s">
        <v>2426</v>
      </c>
      <c r="M245" s="326" t="s">
        <v>226</v>
      </c>
      <c r="N245" s="326" t="s">
        <v>2483</v>
      </c>
      <c r="O245" s="330">
        <v>501.82</v>
      </c>
      <c r="P245" s="330">
        <v>5.76</v>
      </c>
      <c r="Q245" s="331">
        <v>1718</v>
      </c>
      <c r="R245" s="330">
        <v>39000</v>
      </c>
      <c r="S245" s="330">
        <v>6000</v>
      </c>
      <c r="T245" s="326" t="s">
        <v>170</v>
      </c>
      <c r="U245" s="326" t="s">
        <v>2040</v>
      </c>
      <c r="V245" s="332">
        <v>17121</v>
      </c>
      <c r="W245" s="333">
        <v>17150</v>
      </c>
    </row>
    <row r="246" spans="1:23" ht="45" customHeight="1" x14ac:dyDescent="0.4">
      <c r="A246" s="323">
        <v>171476</v>
      </c>
      <c r="B246" s="324" t="s">
        <v>4290</v>
      </c>
      <c r="C246" s="325" t="s">
        <v>2427</v>
      </c>
      <c r="D246" s="326" t="s">
        <v>2084</v>
      </c>
      <c r="E246" s="327" t="s">
        <v>4291</v>
      </c>
      <c r="F246" s="327" t="s">
        <v>4292</v>
      </c>
      <c r="G246" s="327" t="s">
        <v>794</v>
      </c>
      <c r="H246" s="325" t="s">
        <v>2420</v>
      </c>
      <c r="I246" s="325" t="s">
        <v>2421</v>
      </c>
      <c r="J246" s="328">
        <v>17</v>
      </c>
      <c r="K246" s="329">
        <v>1718</v>
      </c>
      <c r="L246" s="325" t="s">
        <v>2426</v>
      </c>
      <c r="M246" s="326" t="s">
        <v>226</v>
      </c>
      <c r="N246" s="326"/>
      <c r="O246" s="330">
        <v>501.82</v>
      </c>
      <c r="P246" s="330">
        <v>5.76</v>
      </c>
      <c r="Q246" s="331">
        <v>1718</v>
      </c>
      <c r="R246" s="330">
        <v>39000</v>
      </c>
      <c r="S246" s="330">
        <v>6000</v>
      </c>
      <c r="T246" s="326" t="s">
        <v>170</v>
      </c>
      <c r="U246" s="326" t="s">
        <v>2040</v>
      </c>
      <c r="V246" s="332">
        <v>17121</v>
      </c>
      <c r="W246" s="333">
        <v>17150</v>
      </c>
    </row>
    <row r="247" spans="1:23" ht="45" customHeight="1" x14ac:dyDescent="0.4">
      <c r="A247" s="323">
        <v>171617</v>
      </c>
      <c r="B247" s="324" t="s">
        <v>4293</v>
      </c>
      <c r="C247" s="325" t="s">
        <v>2428</v>
      </c>
      <c r="D247" s="326" t="s">
        <v>2084</v>
      </c>
      <c r="E247" s="327" t="s">
        <v>795</v>
      </c>
      <c r="F247" s="327"/>
      <c r="G247" s="327" t="s">
        <v>796</v>
      </c>
      <c r="H247" s="325" t="s">
        <v>2386</v>
      </c>
      <c r="I247" s="325" t="s">
        <v>2429</v>
      </c>
      <c r="J247" s="328">
        <v>17</v>
      </c>
      <c r="K247" s="329">
        <v>1732</v>
      </c>
      <c r="L247" s="325" t="s">
        <v>2430</v>
      </c>
      <c r="M247" s="326" t="s">
        <v>226</v>
      </c>
      <c r="N247" s="326"/>
      <c r="O247" s="330">
        <v>357</v>
      </c>
      <c r="P247" s="330">
        <v>2.93</v>
      </c>
      <c r="Q247" s="331">
        <v>1732</v>
      </c>
      <c r="R247" s="330">
        <v>120000</v>
      </c>
      <c r="S247" s="330">
        <v>8500</v>
      </c>
      <c r="T247" s="326" t="s">
        <v>170</v>
      </c>
      <c r="U247" s="326" t="s">
        <v>2040</v>
      </c>
      <c r="V247" s="332">
        <v>14129</v>
      </c>
      <c r="W247" s="333">
        <v>17177</v>
      </c>
    </row>
    <row r="248" spans="1:23" ht="45" customHeight="1" x14ac:dyDescent="0.4">
      <c r="A248" s="323">
        <v>171618</v>
      </c>
      <c r="B248" s="324" t="s">
        <v>4294</v>
      </c>
      <c r="C248" s="325" t="s">
        <v>2431</v>
      </c>
      <c r="D248" s="326" t="s">
        <v>2084</v>
      </c>
      <c r="E248" s="327" t="s">
        <v>4295</v>
      </c>
      <c r="F248" s="327" t="s">
        <v>2432</v>
      </c>
      <c r="G248" s="327" t="s">
        <v>797</v>
      </c>
      <c r="H248" s="325" t="s">
        <v>2433</v>
      </c>
      <c r="I248" s="325" t="s">
        <v>228</v>
      </c>
      <c r="J248" s="328">
        <v>17</v>
      </c>
      <c r="K248" s="329">
        <v>1711</v>
      </c>
      <c r="L248" s="325" t="s">
        <v>2388</v>
      </c>
      <c r="M248" s="326" t="s">
        <v>226</v>
      </c>
      <c r="N248" s="326"/>
      <c r="O248" s="330">
        <v>470</v>
      </c>
      <c r="P248" s="330">
        <v>6.15</v>
      </c>
      <c r="Q248" s="331">
        <v>1711</v>
      </c>
      <c r="R248" s="330">
        <v>210000</v>
      </c>
      <c r="S248" s="330">
        <v>12000</v>
      </c>
      <c r="T248" s="326" t="s">
        <v>170</v>
      </c>
      <c r="U248" s="326" t="s">
        <v>2040</v>
      </c>
      <c r="V248" s="332">
        <v>17120</v>
      </c>
      <c r="W248" s="333">
        <v>17110</v>
      </c>
    </row>
    <row r="249" spans="1:23" ht="45" customHeight="1" x14ac:dyDescent="0.4">
      <c r="A249" s="323">
        <v>171619</v>
      </c>
      <c r="B249" s="324" t="s">
        <v>4296</v>
      </c>
      <c r="C249" s="325" t="s">
        <v>2434</v>
      </c>
      <c r="D249" s="326" t="s">
        <v>2084</v>
      </c>
      <c r="E249" s="327" t="s">
        <v>798</v>
      </c>
      <c r="F249" s="327"/>
      <c r="G249" s="327" t="s">
        <v>799</v>
      </c>
      <c r="H249" s="325" t="s">
        <v>2386</v>
      </c>
      <c r="I249" s="325" t="s">
        <v>2036</v>
      </c>
      <c r="J249" s="328">
        <v>14</v>
      </c>
      <c r="K249" s="329">
        <v>1412</v>
      </c>
      <c r="L249" s="325" t="s">
        <v>2252</v>
      </c>
      <c r="M249" s="326" t="s">
        <v>226</v>
      </c>
      <c r="N249" s="326"/>
      <c r="O249" s="330">
        <v>693.12</v>
      </c>
      <c r="P249" s="330">
        <v>4.74</v>
      </c>
      <c r="Q249" s="331">
        <v>1412</v>
      </c>
      <c r="R249" s="330">
        <v>120000</v>
      </c>
      <c r="S249" s="330">
        <v>13000</v>
      </c>
      <c r="T249" s="326" t="s">
        <v>170</v>
      </c>
      <c r="U249" s="326" t="s">
        <v>2040</v>
      </c>
      <c r="V249" s="332">
        <v>14110</v>
      </c>
      <c r="W249" s="333">
        <v>14140</v>
      </c>
    </row>
    <row r="250" spans="1:23" ht="45" customHeight="1" x14ac:dyDescent="0.4">
      <c r="A250" s="323">
        <v>171620</v>
      </c>
      <c r="B250" s="324" t="s">
        <v>4297</v>
      </c>
      <c r="C250" s="325" t="s">
        <v>2435</v>
      </c>
      <c r="D250" s="326" t="s">
        <v>2084</v>
      </c>
      <c r="E250" s="327" t="s">
        <v>3712</v>
      </c>
      <c r="F250" s="327"/>
      <c r="G250" s="327" t="s">
        <v>383</v>
      </c>
      <c r="H250" s="325" t="s">
        <v>2386</v>
      </c>
      <c r="I250" s="325" t="s">
        <v>2036</v>
      </c>
      <c r="J250" s="328">
        <v>14</v>
      </c>
      <c r="K250" s="329">
        <v>1412</v>
      </c>
      <c r="L250" s="325" t="s">
        <v>2252</v>
      </c>
      <c r="M250" s="326" t="s">
        <v>226</v>
      </c>
      <c r="N250" s="326"/>
      <c r="O250" s="330">
        <v>693.12</v>
      </c>
      <c r="P250" s="330">
        <v>4.74</v>
      </c>
      <c r="Q250" s="331">
        <v>1412</v>
      </c>
      <c r="R250" s="330">
        <v>120000</v>
      </c>
      <c r="S250" s="330">
        <v>13000</v>
      </c>
      <c r="T250" s="326" t="s">
        <v>170</v>
      </c>
      <c r="U250" s="326" t="s">
        <v>2040</v>
      </c>
      <c r="V250" s="332">
        <v>14110</v>
      </c>
      <c r="W250" s="333">
        <v>14140</v>
      </c>
    </row>
    <row r="251" spans="1:23" ht="45" customHeight="1" x14ac:dyDescent="0.4">
      <c r="A251" s="323">
        <v>171621</v>
      </c>
      <c r="B251" s="324" t="s">
        <v>4298</v>
      </c>
      <c r="C251" s="325" t="s">
        <v>2436</v>
      </c>
      <c r="D251" s="326" t="s">
        <v>2084</v>
      </c>
      <c r="E251" s="327" t="s">
        <v>4299</v>
      </c>
      <c r="F251" s="327"/>
      <c r="G251" s="327" t="s">
        <v>800</v>
      </c>
      <c r="H251" s="325" t="s">
        <v>2433</v>
      </c>
      <c r="I251" s="325" t="s">
        <v>2429</v>
      </c>
      <c r="J251" s="328">
        <v>17</v>
      </c>
      <c r="K251" s="329">
        <v>1711</v>
      </c>
      <c r="L251" s="325" t="s">
        <v>2388</v>
      </c>
      <c r="M251" s="326" t="s">
        <v>226</v>
      </c>
      <c r="N251" s="326"/>
      <c r="O251" s="330">
        <v>470</v>
      </c>
      <c r="P251" s="330">
        <v>6.15</v>
      </c>
      <c r="Q251" s="331">
        <v>1711</v>
      </c>
      <c r="R251" s="330">
        <v>210000</v>
      </c>
      <c r="S251" s="330">
        <v>12000</v>
      </c>
      <c r="T251" s="326" t="s">
        <v>170</v>
      </c>
      <c r="U251" s="326" t="s">
        <v>2040</v>
      </c>
      <c r="V251" s="332">
        <v>17120</v>
      </c>
      <c r="W251" s="333">
        <v>17110</v>
      </c>
    </row>
    <row r="252" spans="1:23" ht="45" customHeight="1" x14ac:dyDescent="0.4">
      <c r="A252" s="323">
        <v>171623</v>
      </c>
      <c r="B252" s="324" t="s">
        <v>4300</v>
      </c>
      <c r="C252" s="325" t="s">
        <v>2437</v>
      </c>
      <c r="D252" s="326" t="s">
        <v>2084</v>
      </c>
      <c r="E252" s="327" t="s">
        <v>801</v>
      </c>
      <c r="F252" s="327"/>
      <c r="G252" s="327" t="s">
        <v>383</v>
      </c>
      <c r="H252" s="325" t="s">
        <v>2433</v>
      </c>
      <c r="I252" s="325" t="s">
        <v>2429</v>
      </c>
      <c r="J252" s="328">
        <v>17</v>
      </c>
      <c r="K252" s="329">
        <v>1712</v>
      </c>
      <c r="L252" s="325" t="s">
        <v>2410</v>
      </c>
      <c r="M252" s="326" t="s">
        <v>226</v>
      </c>
      <c r="N252" s="326"/>
      <c r="O252" s="330">
        <v>772</v>
      </c>
      <c r="P252" s="330">
        <v>4.46</v>
      </c>
      <c r="Q252" s="331">
        <v>1712</v>
      </c>
      <c r="R252" s="330">
        <v>220000</v>
      </c>
      <c r="S252" s="330">
        <v>13000</v>
      </c>
      <c r="T252" s="326" t="s">
        <v>170</v>
      </c>
      <c r="U252" s="326" t="s">
        <v>2040</v>
      </c>
      <c r="V252" s="332" t="s">
        <v>2438</v>
      </c>
      <c r="W252" s="333">
        <v>17120</v>
      </c>
    </row>
    <row r="253" spans="1:23" ht="45" customHeight="1" x14ac:dyDescent="0.4">
      <c r="A253" s="323">
        <v>171625</v>
      </c>
      <c r="B253" s="324" t="s">
        <v>4301</v>
      </c>
      <c r="C253" s="325" t="s">
        <v>2439</v>
      </c>
      <c r="D253" s="326" t="s">
        <v>2084</v>
      </c>
      <c r="E253" s="327" t="s">
        <v>4302</v>
      </c>
      <c r="F253" s="327"/>
      <c r="G253" s="327" t="s">
        <v>802</v>
      </c>
      <c r="H253" s="325" t="s">
        <v>2433</v>
      </c>
      <c r="I253" s="325" t="s">
        <v>2440</v>
      </c>
      <c r="J253" s="328">
        <v>17</v>
      </c>
      <c r="K253" s="329">
        <v>1712</v>
      </c>
      <c r="L253" s="325" t="s">
        <v>2410</v>
      </c>
      <c r="M253" s="326" t="s">
        <v>226</v>
      </c>
      <c r="N253" s="326"/>
      <c r="O253" s="330">
        <v>772</v>
      </c>
      <c r="P253" s="330">
        <v>4.46</v>
      </c>
      <c r="Q253" s="331">
        <v>1712</v>
      </c>
      <c r="R253" s="330">
        <v>220000</v>
      </c>
      <c r="S253" s="330">
        <v>13000</v>
      </c>
      <c r="T253" s="326" t="s">
        <v>170</v>
      </c>
      <c r="U253" s="326" t="s">
        <v>2040</v>
      </c>
      <c r="V253" s="332">
        <v>17134</v>
      </c>
      <c r="W253" s="333">
        <v>17120</v>
      </c>
    </row>
    <row r="254" spans="1:23" ht="45" customHeight="1" x14ac:dyDescent="0.4">
      <c r="A254" s="323">
        <v>171627</v>
      </c>
      <c r="B254" s="324" t="s">
        <v>4303</v>
      </c>
      <c r="C254" s="325" t="s">
        <v>2441</v>
      </c>
      <c r="D254" s="326" t="s">
        <v>2084</v>
      </c>
      <c r="E254" s="327" t="s">
        <v>4304</v>
      </c>
      <c r="F254" s="327" t="s">
        <v>4305</v>
      </c>
      <c r="G254" s="327" t="s">
        <v>803</v>
      </c>
      <c r="H254" s="325" t="s">
        <v>2433</v>
      </c>
      <c r="I254" s="325" t="s">
        <v>2440</v>
      </c>
      <c r="J254" s="328">
        <v>17</v>
      </c>
      <c r="K254" s="329">
        <v>1711</v>
      </c>
      <c r="L254" s="325" t="s">
        <v>2388</v>
      </c>
      <c r="M254" s="326" t="s">
        <v>226</v>
      </c>
      <c r="N254" s="326"/>
      <c r="O254" s="330">
        <v>470</v>
      </c>
      <c r="P254" s="330">
        <v>6.15</v>
      </c>
      <c r="Q254" s="331">
        <v>1711</v>
      </c>
      <c r="R254" s="330">
        <v>210000</v>
      </c>
      <c r="S254" s="330">
        <v>12000</v>
      </c>
      <c r="T254" s="326" t="s">
        <v>170</v>
      </c>
      <c r="U254" s="326" t="s">
        <v>2040</v>
      </c>
      <c r="V254" s="332">
        <v>17120</v>
      </c>
      <c r="W254" s="333">
        <v>17110</v>
      </c>
    </row>
    <row r="255" spans="1:23" ht="45" customHeight="1" x14ac:dyDescent="0.4">
      <c r="A255" s="323">
        <v>171628</v>
      </c>
      <c r="B255" s="324" t="s">
        <v>4306</v>
      </c>
      <c r="C255" s="325" t="s">
        <v>2442</v>
      </c>
      <c r="D255" s="326" t="s">
        <v>2084</v>
      </c>
      <c r="E255" s="327" t="s">
        <v>804</v>
      </c>
      <c r="F255" s="327"/>
      <c r="G255" s="327" t="s">
        <v>805</v>
      </c>
      <c r="H255" s="325" t="s">
        <v>2069</v>
      </c>
      <c r="I255" s="325" t="s">
        <v>228</v>
      </c>
      <c r="J255" s="328">
        <v>17</v>
      </c>
      <c r="K255" s="329">
        <v>1711</v>
      </c>
      <c r="L255" s="325" t="s">
        <v>2388</v>
      </c>
      <c r="M255" s="326" t="s">
        <v>226</v>
      </c>
      <c r="N255" s="326"/>
      <c r="O255" s="330">
        <v>470</v>
      </c>
      <c r="P255" s="330">
        <v>6.15</v>
      </c>
      <c r="Q255" s="331">
        <v>1711</v>
      </c>
      <c r="R255" s="330">
        <v>210000</v>
      </c>
      <c r="S255" s="330">
        <v>12000</v>
      </c>
      <c r="T255" s="326" t="s">
        <v>170</v>
      </c>
      <c r="U255" s="326" t="s">
        <v>2040</v>
      </c>
      <c r="V255" s="332">
        <v>17120</v>
      </c>
      <c r="W255" s="333">
        <v>17110</v>
      </c>
    </row>
    <row r="256" spans="1:23" ht="45" customHeight="1" x14ac:dyDescent="0.4">
      <c r="A256" s="323">
        <v>171712</v>
      </c>
      <c r="B256" s="324" t="s">
        <v>4307</v>
      </c>
      <c r="C256" s="325" t="s">
        <v>2443</v>
      </c>
      <c r="D256" s="326" t="s">
        <v>2084</v>
      </c>
      <c r="E256" s="327" t="s">
        <v>4308</v>
      </c>
      <c r="F256" s="327"/>
      <c r="G256" s="327" t="s">
        <v>806</v>
      </c>
      <c r="H256" s="325" t="s">
        <v>2444</v>
      </c>
      <c r="I256" s="325" t="s">
        <v>228</v>
      </c>
      <c r="J256" s="328">
        <v>17</v>
      </c>
      <c r="K256" s="329">
        <v>1711</v>
      </c>
      <c r="L256" s="325" t="s">
        <v>2388</v>
      </c>
      <c r="M256" s="326" t="s">
        <v>226</v>
      </c>
      <c r="N256" s="326"/>
      <c r="O256" s="330">
        <v>470</v>
      </c>
      <c r="P256" s="330">
        <v>6.15</v>
      </c>
      <c r="Q256" s="331">
        <v>1711</v>
      </c>
      <c r="R256" s="330">
        <v>210000</v>
      </c>
      <c r="S256" s="330">
        <v>12000</v>
      </c>
      <c r="T256" s="326" t="s">
        <v>170</v>
      </c>
      <c r="U256" s="326" t="s">
        <v>2040</v>
      </c>
      <c r="V256" s="332">
        <v>17120</v>
      </c>
      <c r="W256" s="333">
        <v>17110</v>
      </c>
    </row>
    <row r="257" spans="1:23" ht="45" customHeight="1" x14ac:dyDescent="0.4">
      <c r="A257" s="323">
        <v>171721</v>
      </c>
      <c r="B257" s="324" t="s">
        <v>2446</v>
      </c>
      <c r="C257" s="325" t="s">
        <v>2445</v>
      </c>
      <c r="D257" s="326" t="s">
        <v>2084</v>
      </c>
      <c r="E257" s="327" t="s">
        <v>4309</v>
      </c>
      <c r="F257" s="327"/>
      <c r="G257" s="327" t="s">
        <v>807</v>
      </c>
      <c r="H257" s="325" t="s">
        <v>228</v>
      </c>
      <c r="I257" s="325" t="s">
        <v>228</v>
      </c>
      <c r="J257" s="328">
        <v>17</v>
      </c>
      <c r="K257" s="329">
        <v>1717</v>
      </c>
      <c r="L257" s="325" t="s">
        <v>2446</v>
      </c>
      <c r="M257" s="326" t="s">
        <v>226</v>
      </c>
      <c r="N257" s="326"/>
      <c r="O257" s="330">
        <v>470</v>
      </c>
      <c r="P257" s="330">
        <v>4.82</v>
      </c>
      <c r="Q257" s="331">
        <v>1717</v>
      </c>
      <c r="R257" s="330">
        <v>30000</v>
      </c>
      <c r="S257" s="330">
        <v>4100</v>
      </c>
      <c r="T257" s="326" t="s">
        <v>170</v>
      </c>
      <c r="U257" s="326" t="s">
        <v>2040</v>
      </c>
      <c r="V257" s="332">
        <v>17119</v>
      </c>
      <c r="W257" s="333"/>
    </row>
    <row r="258" spans="1:23" ht="45" customHeight="1" x14ac:dyDescent="0.4">
      <c r="A258" s="323">
        <v>171813</v>
      </c>
      <c r="B258" s="324" t="s">
        <v>4310</v>
      </c>
      <c r="C258" s="325" t="s">
        <v>2447</v>
      </c>
      <c r="D258" s="326" t="s">
        <v>2084</v>
      </c>
      <c r="E258" s="327" t="s">
        <v>4311</v>
      </c>
      <c r="F258" s="327"/>
      <c r="G258" s="327" t="s">
        <v>808</v>
      </c>
      <c r="H258" s="325" t="s">
        <v>2448</v>
      </c>
      <c r="I258" s="325" t="s">
        <v>228</v>
      </c>
      <c r="J258" s="328">
        <v>17</v>
      </c>
      <c r="K258" s="329">
        <v>1711</v>
      </c>
      <c r="L258" s="325" t="s">
        <v>2388</v>
      </c>
      <c r="M258" s="326" t="s">
        <v>226</v>
      </c>
      <c r="N258" s="326"/>
      <c r="O258" s="330">
        <v>470</v>
      </c>
      <c r="P258" s="330">
        <v>6.15</v>
      </c>
      <c r="Q258" s="331">
        <v>1711</v>
      </c>
      <c r="R258" s="330">
        <v>210000</v>
      </c>
      <c r="S258" s="330">
        <v>12000</v>
      </c>
      <c r="T258" s="326" t="s">
        <v>170</v>
      </c>
      <c r="U258" s="326" t="s">
        <v>2040</v>
      </c>
      <c r="V258" s="332">
        <v>17120</v>
      </c>
      <c r="W258" s="333">
        <v>17110</v>
      </c>
    </row>
    <row r="259" spans="1:23" ht="45" customHeight="1" x14ac:dyDescent="0.4">
      <c r="A259" s="323">
        <v>171815</v>
      </c>
      <c r="B259" s="324" t="s">
        <v>4312</v>
      </c>
      <c r="C259" s="325" t="s">
        <v>2449</v>
      </c>
      <c r="D259" s="326" t="s">
        <v>2084</v>
      </c>
      <c r="E259" s="327" t="s">
        <v>4313</v>
      </c>
      <c r="F259" s="327"/>
      <c r="G259" s="327" t="s">
        <v>809</v>
      </c>
      <c r="H259" s="325" t="s">
        <v>2450</v>
      </c>
      <c r="I259" s="325" t="s">
        <v>228</v>
      </c>
      <c r="J259" s="328">
        <v>17</v>
      </c>
      <c r="K259" s="329">
        <v>1711</v>
      </c>
      <c r="L259" s="325" t="s">
        <v>2388</v>
      </c>
      <c r="M259" s="326" t="s">
        <v>226</v>
      </c>
      <c r="N259" s="326"/>
      <c r="O259" s="330">
        <v>470</v>
      </c>
      <c r="P259" s="330">
        <v>6.15</v>
      </c>
      <c r="Q259" s="331">
        <v>1711</v>
      </c>
      <c r="R259" s="330">
        <v>210000</v>
      </c>
      <c r="S259" s="330">
        <v>12000</v>
      </c>
      <c r="T259" s="326" t="s">
        <v>170</v>
      </c>
      <c r="U259" s="326" t="s">
        <v>2040</v>
      </c>
      <c r="V259" s="332">
        <v>17120</v>
      </c>
      <c r="W259" s="333">
        <v>17110</v>
      </c>
    </row>
    <row r="260" spans="1:23" ht="45" customHeight="1" x14ac:dyDescent="0.4">
      <c r="A260" s="323">
        <v>171822</v>
      </c>
      <c r="B260" s="324" t="s">
        <v>4314</v>
      </c>
      <c r="C260" s="325" t="s">
        <v>2451</v>
      </c>
      <c r="D260" s="326" t="s">
        <v>2084</v>
      </c>
      <c r="E260" s="327" t="s">
        <v>810</v>
      </c>
      <c r="F260" s="327"/>
      <c r="G260" s="327" t="s">
        <v>811</v>
      </c>
      <c r="H260" s="325" t="s">
        <v>2452</v>
      </c>
      <c r="I260" s="325" t="s">
        <v>228</v>
      </c>
      <c r="J260" s="328">
        <v>61</v>
      </c>
      <c r="K260" s="329">
        <v>6100</v>
      </c>
      <c r="L260" s="325" t="s">
        <v>2408</v>
      </c>
      <c r="M260" s="326" t="s">
        <v>226</v>
      </c>
      <c r="N260" s="326"/>
      <c r="O260" s="330">
        <v>587</v>
      </c>
      <c r="P260" s="330">
        <v>4.5999999999999996</v>
      </c>
      <c r="Q260" s="331">
        <v>6100</v>
      </c>
      <c r="R260" s="330">
        <v>1000000</v>
      </c>
      <c r="S260" s="330">
        <v>8400</v>
      </c>
      <c r="T260" s="326" t="s">
        <v>170</v>
      </c>
      <c r="U260" s="326" t="s">
        <v>2040</v>
      </c>
      <c r="V260" s="332">
        <v>61001</v>
      </c>
      <c r="W260" s="333">
        <v>17160</v>
      </c>
    </row>
    <row r="261" spans="1:23" ht="45" customHeight="1" x14ac:dyDescent="0.4">
      <c r="A261" s="323">
        <v>171833</v>
      </c>
      <c r="B261" s="324" t="s">
        <v>4315</v>
      </c>
      <c r="C261" s="325" t="s">
        <v>2453</v>
      </c>
      <c r="D261" s="326" t="s">
        <v>2084</v>
      </c>
      <c r="E261" s="327" t="s">
        <v>812</v>
      </c>
      <c r="F261" s="327"/>
      <c r="G261" s="327" t="s">
        <v>813</v>
      </c>
      <c r="H261" s="325" t="s">
        <v>2386</v>
      </c>
      <c r="I261" s="325" t="s">
        <v>2429</v>
      </c>
      <c r="J261" s="328">
        <v>17</v>
      </c>
      <c r="K261" s="329">
        <v>1711</v>
      </c>
      <c r="L261" s="325" t="s">
        <v>2388</v>
      </c>
      <c r="M261" s="326" t="s">
        <v>226</v>
      </c>
      <c r="N261" s="326"/>
      <c r="O261" s="330">
        <v>470</v>
      </c>
      <c r="P261" s="330">
        <v>6.15</v>
      </c>
      <c r="Q261" s="331">
        <v>1711</v>
      </c>
      <c r="R261" s="330">
        <v>210000</v>
      </c>
      <c r="S261" s="330">
        <v>12000</v>
      </c>
      <c r="T261" s="326" t="s">
        <v>170</v>
      </c>
      <c r="U261" s="326" t="s">
        <v>2040</v>
      </c>
      <c r="V261" s="332">
        <v>17120</v>
      </c>
      <c r="W261" s="333">
        <v>17110</v>
      </c>
    </row>
    <row r="262" spans="1:23" ht="45" customHeight="1" x14ac:dyDescent="0.4">
      <c r="A262" s="323">
        <v>171844</v>
      </c>
      <c r="B262" s="324" t="s">
        <v>4316</v>
      </c>
      <c r="C262" s="325" t="s">
        <v>2454</v>
      </c>
      <c r="D262" s="326" t="s">
        <v>2084</v>
      </c>
      <c r="E262" s="327" t="s">
        <v>814</v>
      </c>
      <c r="F262" s="327"/>
      <c r="G262" s="327" t="s">
        <v>815</v>
      </c>
      <c r="H262" s="325" t="s">
        <v>2386</v>
      </c>
      <c r="I262" s="325" t="s">
        <v>2455</v>
      </c>
      <c r="J262" s="328">
        <v>17</v>
      </c>
      <c r="K262" s="329">
        <v>1711</v>
      </c>
      <c r="L262" s="325" t="s">
        <v>2388</v>
      </c>
      <c r="M262" s="326" t="s">
        <v>226</v>
      </c>
      <c r="N262" s="326"/>
      <c r="O262" s="330">
        <v>470</v>
      </c>
      <c r="P262" s="330">
        <v>6.15</v>
      </c>
      <c r="Q262" s="331">
        <v>1711</v>
      </c>
      <c r="R262" s="330">
        <v>210000</v>
      </c>
      <c r="S262" s="330">
        <v>12000</v>
      </c>
      <c r="T262" s="326" t="s">
        <v>170</v>
      </c>
      <c r="U262" s="326" t="s">
        <v>2040</v>
      </c>
      <c r="V262" s="332">
        <v>17120</v>
      </c>
      <c r="W262" s="333">
        <v>17110</v>
      </c>
    </row>
    <row r="263" spans="1:23" ht="45" customHeight="1" x14ac:dyDescent="0.4">
      <c r="A263" s="323">
        <v>171851</v>
      </c>
      <c r="B263" s="324" t="s">
        <v>4317</v>
      </c>
      <c r="C263" s="325" t="s">
        <v>2456</v>
      </c>
      <c r="D263" s="326" t="s">
        <v>2084</v>
      </c>
      <c r="E263" s="327" t="s">
        <v>816</v>
      </c>
      <c r="F263" s="327"/>
      <c r="G263" s="327" t="s">
        <v>817</v>
      </c>
      <c r="H263" s="325" t="s">
        <v>2450</v>
      </c>
      <c r="I263" s="325" t="s">
        <v>228</v>
      </c>
      <c r="J263" s="328">
        <v>17</v>
      </c>
      <c r="K263" s="329">
        <v>1711</v>
      </c>
      <c r="L263" s="325" t="s">
        <v>2388</v>
      </c>
      <c r="M263" s="326" t="s">
        <v>226</v>
      </c>
      <c r="N263" s="326"/>
      <c r="O263" s="330">
        <v>470</v>
      </c>
      <c r="P263" s="330">
        <v>6.15</v>
      </c>
      <c r="Q263" s="331">
        <v>1711</v>
      </c>
      <c r="R263" s="330">
        <v>210000</v>
      </c>
      <c r="S263" s="330">
        <v>12000</v>
      </c>
      <c r="T263" s="326" t="s">
        <v>170</v>
      </c>
      <c r="U263" s="326" t="s">
        <v>2040</v>
      </c>
      <c r="V263" s="332">
        <v>17120</v>
      </c>
      <c r="W263" s="333">
        <v>17110</v>
      </c>
    </row>
    <row r="264" spans="1:23" ht="45" customHeight="1" x14ac:dyDescent="0.4">
      <c r="A264" s="323">
        <v>171853</v>
      </c>
      <c r="B264" s="324" t="s">
        <v>4318</v>
      </c>
      <c r="C264" s="325" t="s">
        <v>2457</v>
      </c>
      <c r="D264" s="326" t="s">
        <v>2084</v>
      </c>
      <c r="E264" s="327" t="s">
        <v>818</v>
      </c>
      <c r="F264" s="327"/>
      <c r="G264" s="327" t="s">
        <v>819</v>
      </c>
      <c r="H264" s="325" t="s">
        <v>2383</v>
      </c>
      <c r="I264" s="325" t="s">
        <v>228</v>
      </c>
      <c r="J264" s="328">
        <v>17</v>
      </c>
      <c r="K264" s="329">
        <v>1711</v>
      </c>
      <c r="L264" s="325" t="s">
        <v>2388</v>
      </c>
      <c r="M264" s="326" t="s">
        <v>226</v>
      </c>
      <c r="N264" s="326"/>
      <c r="O264" s="330">
        <v>470</v>
      </c>
      <c r="P264" s="330">
        <v>6.15</v>
      </c>
      <c r="Q264" s="331">
        <v>1711</v>
      </c>
      <c r="R264" s="330">
        <v>210000</v>
      </c>
      <c r="S264" s="330">
        <v>12000</v>
      </c>
      <c r="T264" s="326" t="s">
        <v>170</v>
      </c>
      <c r="U264" s="326" t="s">
        <v>2040</v>
      </c>
      <c r="V264" s="332">
        <v>17120</v>
      </c>
      <c r="W264" s="333">
        <v>17110</v>
      </c>
    </row>
    <row r="265" spans="1:23" ht="45" customHeight="1" x14ac:dyDescent="0.4">
      <c r="A265" s="323">
        <v>171873</v>
      </c>
      <c r="B265" s="324" t="s">
        <v>4319</v>
      </c>
      <c r="C265" s="325" t="s">
        <v>4320</v>
      </c>
      <c r="D265" s="326" t="s">
        <v>2084</v>
      </c>
      <c r="E265" s="327" t="s">
        <v>4321</v>
      </c>
      <c r="F265" s="327"/>
      <c r="G265" s="327" t="s">
        <v>820</v>
      </c>
      <c r="H265" s="325" t="s">
        <v>2433</v>
      </c>
      <c r="I265" s="325" t="s">
        <v>2036</v>
      </c>
      <c r="J265" s="328">
        <v>17</v>
      </c>
      <c r="K265" s="329" t="s">
        <v>4322</v>
      </c>
      <c r="L265" s="325" t="s">
        <v>2252</v>
      </c>
      <c r="M265" s="326" t="s">
        <v>226</v>
      </c>
      <c r="N265" s="326"/>
      <c r="O265" s="330">
        <v>693.12</v>
      </c>
      <c r="P265" s="330">
        <v>4.74</v>
      </c>
      <c r="Q265" s="331">
        <v>1412</v>
      </c>
      <c r="R265" s="330">
        <v>120000</v>
      </c>
      <c r="S265" s="330">
        <v>13000</v>
      </c>
      <c r="T265" s="326" t="s">
        <v>170</v>
      </c>
      <c r="U265" s="326" t="s">
        <v>2040</v>
      </c>
      <c r="V265" s="332">
        <v>17137</v>
      </c>
      <c r="W265" s="333">
        <v>17120</v>
      </c>
    </row>
    <row r="266" spans="1:23" ht="45" customHeight="1" x14ac:dyDescent="0.4">
      <c r="A266" s="323">
        <v>171875</v>
      </c>
      <c r="B266" s="324" t="s">
        <v>4323</v>
      </c>
      <c r="C266" s="325" t="s">
        <v>2458</v>
      </c>
      <c r="D266" s="326" t="s">
        <v>2084</v>
      </c>
      <c r="E266" s="327" t="s">
        <v>821</v>
      </c>
      <c r="F266" s="327"/>
      <c r="G266" s="327" t="s">
        <v>822</v>
      </c>
      <c r="H266" s="325" t="s">
        <v>2078</v>
      </c>
      <c r="I266" s="325" t="s">
        <v>228</v>
      </c>
      <c r="J266" s="328">
        <v>17</v>
      </c>
      <c r="K266" s="329">
        <v>1711</v>
      </c>
      <c r="L266" s="325" t="s">
        <v>2388</v>
      </c>
      <c r="M266" s="326" t="s">
        <v>226</v>
      </c>
      <c r="N266" s="326"/>
      <c r="O266" s="330">
        <v>470</v>
      </c>
      <c r="P266" s="330">
        <v>6.15</v>
      </c>
      <c r="Q266" s="331">
        <v>1711</v>
      </c>
      <c r="R266" s="330">
        <v>210000</v>
      </c>
      <c r="S266" s="330">
        <v>12000</v>
      </c>
      <c r="T266" s="326" t="s">
        <v>170</v>
      </c>
      <c r="U266" s="326" t="s">
        <v>2040</v>
      </c>
      <c r="V266" s="332">
        <v>17120</v>
      </c>
      <c r="W266" s="333">
        <v>17110</v>
      </c>
    </row>
    <row r="267" spans="1:23" ht="45" customHeight="1" x14ac:dyDescent="0.4">
      <c r="A267" s="323">
        <v>172321</v>
      </c>
      <c r="B267" s="324" t="s">
        <v>4324</v>
      </c>
      <c r="C267" s="325" t="s">
        <v>823</v>
      </c>
      <c r="D267" s="326" t="s">
        <v>2084</v>
      </c>
      <c r="E267" s="327" t="s">
        <v>824</v>
      </c>
      <c r="F267" s="327"/>
      <c r="G267" s="327" t="s">
        <v>825</v>
      </c>
      <c r="H267" s="325" t="s">
        <v>228</v>
      </c>
      <c r="I267" s="325" t="s">
        <v>228</v>
      </c>
      <c r="J267" s="328">
        <v>17</v>
      </c>
      <c r="K267" s="329">
        <v>1723</v>
      </c>
      <c r="L267" s="325" t="s">
        <v>2459</v>
      </c>
      <c r="M267" s="326" t="s">
        <v>226</v>
      </c>
      <c r="N267" s="326"/>
      <c r="O267" s="330">
        <v>390.16</v>
      </c>
      <c r="P267" s="330">
        <v>3.43</v>
      </c>
      <c r="Q267" s="331">
        <v>1723</v>
      </c>
      <c r="R267" s="330">
        <v>3800</v>
      </c>
      <c r="S267" s="330">
        <v>1000</v>
      </c>
      <c r="T267" s="326" t="s">
        <v>170</v>
      </c>
      <c r="U267" s="326" t="s">
        <v>2040</v>
      </c>
      <c r="V267" s="332">
        <v>17170</v>
      </c>
      <c r="W267" s="333">
        <v>17230</v>
      </c>
    </row>
    <row r="268" spans="1:23" ht="45" customHeight="1" x14ac:dyDescent="0.4">
      <c r="A268" s="323">
        <v>172421</v>
      </c>
      <c r="B268" s="324" t="s">
        <v>826</v>
      </c>
      <c r="C268" s="325" t="s">
        <v>826</v>
      </c>
      <c r="D268" s="326" t="s">
        <v>2084</v>
      </c>
      <c r="E268" s="327" t="s">
        <v>827</v>
      </c>
      <c r="F268" s="327"/>
      <c r="G268" s="327" t="s">
        <v>828</v>
      </c>
      <c r="H268" s="325" t="s">
        <v>228</v>
      </c>
      <c r="I268" s="325" t="s">
        <v>228</v>
      </c>
      <c r="J268" s="328">
        <v>17</v>
      </c>
      <c r="K268" s="329">
        <v>1724</v>
      </c>
      <c r="L268" s="325" t="s">
        <v>2460</v>
      </c>
      <c r="M268" s="326" t="s">
        <v>226</v>
      </c>
      <c r="N268" s="326"/>
      <c r="O268" s="330">
        <v>1023</v>
      </c>
      <c r="P268" s="330">
        <v>5.54</v>
      </c>
      <c r="Q268" s="331">
        <v>1724</v>
      </c>
      <c r="R268" s="330">
        <v>120000</v>
      </c>
      <c r="S268" s="330">
        <v>10000</v>
      </c>
      <c r="T268" s="326" t="s">
        <v>170</v>
      </c>
      <c r="U268" s="326" t="s">
        <v>2040</v>
      </c>
      <c r="V268" s="332">
        <v>17211</v>
      </c>
      <c r="W268" s="333">
        <v>17136</v>
      </c>
    </row>
    <row r="269" spans="1:23" ht="45" customHeight="1" x14ac:dyDescent="0.4">
      <c r="A269" s="323">
        <v>172423</v>
      </c>
      <c r="B269" s="324" t="s">
        <v>4325</v>
      </c>
      <c r="C269" s="325" t="s">
        <v>2461</v>
      </c>
      <c r="D269" s="326" t="s">
        <v>2084</v>
      </c>
      <c r="E269" s="327" t="s">
        <v>829</v>
      </c>
      <c r="F269" s="327"/>
      <c r="G269" s="327" t="s">
        <v>830</v>
      </c>
      <c r="H269" s="325" t="s">
        <v>228</v>
      </c>
      <c r="I269" s="325" t="s">
        <v>228</v>
      </c>
      <c r="J269" s="328">
        <v>17</v>
      </c>
      <c r="K269" s="329">
        <v>1724</v>
      </c>
      <c r="L269" s="325" t="s">
        <v>2460</v>
      </c>
      <c r="M269" s="326" t="s">
        <v>226</v>
      </c>
      <c r="N269" s="326"/>
      <c r="O269" s="330">
        <v>1023</v>
      </c>
      <c r="P269" s="330">
        <v>5.54</v>
      </c>
      <c r="Q269" s="331">
        <v>1724</v>
      </c>
      <c r="R269" s="330">
        <v>120000</v>
      </c>
      <c r="S269" s="330">
        <v>10000</v>
      </c>
      <c r="T269" s="326" t="s">
        <v>170</v>
      </c>
      <c r="U269" s="326" t="s">
        <v>2040</v>
      </c>
      <c r="V269" s="332">
        <v>17213</v>
      </c>
      <c r="W269" s="333">
        <v>17136</v>
      </c>
    </row>
    <row r="270" spans="1:23" ht="45" customHeight="1" x14ac:dyDescent="0.4">
      <c r="A270" s="323">
        <v>172424</v>
      </c>
      <c r="B270" s="324" t="s">
        <v>4326</v>
      </c>
      <c r="C270" s="325" t="s">
        <v>2462</v>
      </c>
      <c r="D270" s="326" t="s">
        <v>2084</v>
      </c>
      <c r="E270" s="327" t="s">
        <v>831</v>
      </c>
      <c r="F270" s="327"/>
      <c r="G270" s="327" t="s">
        <v>832</v>
      </c>
      <c r="H270" s="325" t="s">
        <v>228</v>
      </c>
      <c r="I270" s="325" t="s">
        <v>228</v>
      </c>
      <c r="J270" s="328">
        <v>17</v>
      </c>
      <c r="K270" s="329">
        <v>1724</v>
      </c>
      <c r="L270" s="325" t="s">
        <v>2460</v>
      </c>
      <c r="M270" s="326" t="s">
        <v>226</v>
      </c>
      <c r="N270" s="326"/>
      <c r="O270" s="330">
        <v>1023</v>
      </c>
      <c r="P270" s="330">
        <v>5.54</v>
      </c>
      <c r="Q270" s="331">
        <v>1724</v>
      </c>
      <c r="R270" s="330">
        <v>120000</v>
      </c>
      <c r="S270" s="330">
        <v>10000</v>
      </c>
      <c r="T270" s="326" t="s">
        <v>170</v>
      </c>
      <c r="U270" s="326" t="s">
        <v>2040</v>
      </c>
      <c r="V270" s="332">
        <v>17214</v>
      </c>
      <c r="W270" s="333">
        <v>17136</v>
      </c>
    </row>
    <row r="271" spans="1:23" ht="45" customHeight="1" x14ac:dyDescent="0.4">
      <c r="A271" s="323">
        <v>173321</v>
      </c>
      <c r="B271" s="324" t="s">
        <v>4327</v>
      </c>
      <c r="C271" s="325" t="s">
        <v>2463</v>
      </c>
      <c r="D271" s="326" t="s">
        <v>2045</v>
      </c>
      <c r="E271" s="327" t="s">
        <v>833</v>
      </c>
      <c r="F271" s="327"/>
      <c r="G271" s="327" t="s">
        <v>834</v>
      </c>
      <c r="H271" s="325" t="s">
        <v>228</v>
      </c>
      <c r="I271" s="325" t="s">
        <v>228</v>
      </c>
      <c r="J271" s="328">
        <v>17</v>
      </c>
      <c r="K271" s="329">
        <v>1733</v>
      </c>
      <c r="L271" s="325" t="s">
        <v>2464</v>
      </c>
      <c r="M271" s="326" t="s">
        <v>226</v>
      </c>
      <c r="N271" s="326"/>
      <c r="O271" s="330">
        <v>315.47000000000003</v>
      </c>
      <c r="P271" s="330">
        <v>0.49</v>
      </c>
      <c r="Q271" s="331">
        <v>1733</v>
      </c>
      <c r="R271" s="330">
        <v>52000</v>
      </c>
      <c r="S271" s="330">
        <v>1700</v>
      </c>
      <c r="T271" s="326" t="s">
        <v>170</v>
      </c>
      <c r="U271" s="326" t="s">
        <v>2040</v>
      </c>
      <c r="V271" s="332">
        <v>17139</v>
      </c>
      <c r="W271" s="333">
        <v>17330</v>
      </c>
    </row>
    <row r="272" spans="1:23" ht="45" customHeight="1" x14ac:dyDescent="0.4">
      <c r="A272" s="323">
        <v>173421</v>
      </c>
      <c r="B272" s="324" t="s">
        <v>4328</v>
      </c>
      <c r="C272" s="325" t="s">
        <v>2465</v>
      </c>
      <c r="D272" s="326" t="s">
        <v>2045</v>
      </c>
      <c r="E272" s="327" t="s">
        <v>835</v>
      </c>
      <c r="F272" s="327"/>
      <c r="G272" s="327" t="s">
        <v>836</v>
      </c>
      <c r="H272" s="325" t="s">
        <v>228</v>
      </c>
      <c r="I272" s="325" t="s">
        <v>228</v>
      </c>
      <c r="J272" s="328">
        <v>17</v>
      </c>
      <c r="K272" s="329">
        <v>1734</v>
      </c>
      <c r="L272" s="325" t="s">
        <v>3823</v>
      </c>
      <c r="M272" s="326" t="s">
        <v>2039</v>
      </c>
      <c r="N272" s="326"/>
      <c r="O272" s="330">
        <v>25899.35</v>
      </c>
      <c r="P272" s="330">
        <v>67.31</v>
      </c>
      <c r="Q272" s="331">
        <v>1734</v>
      </c>
      <c r="R272" s="330">
        <v>275</v>
      </c>
      <c r="S272" s="330">
        <v>35</v>
      </c>
      <c r="T272" s="326" t="s">
        <v>170</v>
      </c>
      <c r="U272" s="326" t="s">
        <v>2040</v>
      </c>
      <c r="V272" s="332">
        <v>17972</v>
      </c>
      <c r="W272" s="333">
        <v>17912</v>
      </c>
    </row>
    <row r="273" spans="1:23" ht="45" customHeight="1" x14ac:dyDescent="0.4">
      <c r="A273" s="323">
        <v>174121</v>
      </c>
      <c r="B273" s="324" t="s">
        <v>4329</v>
      </c>
      <c r="C273" s="325" t="s">
        <v>2466</v>
      </c>
      <c r="D273" s="326" t="s">
        <v>2045</v>
      </c>
      <c r="E273" s="327" t="s">
        <v>837</v>
      </c>
      <c r="F273" s="327" t="s">
        <v>2467</v>
      </c>
      <c r="G273" s="327" t="s">
        <v>838</v>
      </c>
      <c r="H273" s="325" t="s">
        <v>228</v>
      </c>
      <c r="I273" s="325" t="s">
        <v>228</v>
      </c>
      <c r="J273" s="328">
        <v>17</v>
      </c>
      <c r="K273" s="329">
        <v>1741</v>
      </c>
      <c r="L273" s="325" t="s">
        <v>2468</v>
      </c>
      <c r="M273" s="326" t="s">
        <v>2469</v>
      </c>
      <c r="N273" s="326"/>
      <c r="O273" s="330">
        <v>0</v>
      </c>
      <c r="P273" s="330">
        <v>2.29</v>
      </c>
      <c r="Q273" s="331">
        <v>1741</v>
      </c>
      <c r="R273" s="330">
        <v>360000</v>
      </c>
      <c r="S273" s="330">
        <v>1840</v>
      </c>
      <c r="T273" s="326" t="s">
        <v>170</v>
      </c>
      <c r="U273" s="326" t="s">
        <v>2040</v>
      </c>
      <c r="V273" s="332">
        <v>17998</v>
      </c>
      <c r="W273" s="333">
        <v>17412</v>
      </c>
    </row>
    <row r="274" spans="1:23" ht="45" customHeight="1" x14ac:dyDescent="0.4">
      <c r="A274" s="323">
        <v>174122</v>
      </c>
      <c r="B274" s="324" t="s">
        <v>4330</v>
      </c>
      <c r="C274" s="325" t="s">
        <v>2470</v>
      </c>
      <c r="D274" s="326" t="s">
        <v>2045</v>
      </c>
      <c r="E274" s="327" t="s">
        <v>839</v>
      </c>
      <c r="F274" s="327"/>
      <c r="G274" s="327" t="s">
        <v>840</v>
      </c>
      <c r="H274" s="325" t="s">
        <v>228</v>
      </c>
      <c r="I274" s="325" t="s">
        <v>228</v>
      </c>
      <c r="J274" s="328">
        <v>17</v>
      </c>
      <c r="K274" s="329">
        <v>1741</v>
      </c>
      <c r="L274" s="325" t="s">
        <v>2468</v>
      </c>
      <c r="M274" s="326" t="s">
        <v>2469</v>
      </c>
      <c r="N274" s="326"/>
      <c r="O274" s="330">
        <v>0</v>
      </c>
      <c r="P274" s="330">
        <v>2.29</v>
      </c>
      <c r="Q274" s="331">
        <v>1741</v>
      </c>
      <c r="R274" s="330">
        <v>360000</v>
      </c>
      <c r="S274" s="330">
        <v>1840</v>
      </c>
      <c r="T274" s="326" t="s">
        <v>170</v>
      </c>
      <c r="U274" s="326" t="s">
        <v>2040</v>
      </c>
      <c r="V274" s="332">
        <v>17999</v>
      </c>
      <c r="W274" s="333">
        <v>17413</v>
      </c>
    </row>
    <row r="275" spans="1:23" ht="45" customHeight="1" x14ac:dyDescent="0.4">
      <c r="A275" s="323">
        <v>174123</v>
      </c>
      <c r="B275" s="324" t="s">
        <v>4331</v>
      </c>
      <c r="C275" s="325" t="s">
        <v>2471</v>
      </c>
      <c r="D275" s="326" t="s">
        <v>2045</v>
      </c>
      <c r="E275" s="327" t="s">
        <v>841</v>
      </c>
      <c r="F275" s="327"/>
      <c r="G275" s="327" t="s">
        <v>842</v>
      </c>
      <c r="H275" s="325" t="s">
        <v>228</v>
      </c>
      <c r="I275" s="325" t="s">
        <v>228</v>
      </c>
      <c r="J275" s="328">
        <v>17</v>
      </c>
      <c r="K275" s="329">
        <v>1741</v>
      </c>
      <c r="L275" s="325" t="s">
        <v>2468</v>
      </c>
      <c r="M275" s="326" t="s">
        <v>2469</v>
      </c>
      <c r="N275" s="326"/>
      <c r="O275" s="330">
        <v>0</v>
      </c>
      <c r="P275" s="330">
        <v>2.29</v>
      </c>
      <c r="Q275" s="331">
        <v>1741</v>
      </c>
      <c r="R275" s="330">
        <v>360000</v>
      </c>
      <c r="S275" s="330">
        <v>1840</v>
      </c>
      <c r="T275" s="326" t="s">
        <v>170</v>
      </c>
      <c r="U275" s="326" t="s">
        <v>2040</v>
      </c>
      <c r="V275" s="332">
        <v>17710</v>
      </c>
      <c r="W275" s="333" t="s">
        <v>2472</v>
      </c>
    </row>
    <row r="276" spans="1:23" ht="45" customHeight="1" x14ac:dyDescent="0.4">
      <c r="A276" s="323">
        <v>174221</v>
      </c>
      <c r="B276" s="324" t="s">
        <v>4332</v>
      </c>
      <c r="C276" s="325" t="s">
        <v>2473</v>
      </c>
      <c r="D276" s="326" t="s">
        <v>2045</v>
      </c>
      <c r="E276" s="327" t="s">
        <v>843</v>
      </c>
      <c r="F276" s="327"/>
      <c r="G276" s="327" t="s">
        <v>844</v>
      </c>
      <c r="H276" s="325" t="s">
        <v>228</v>
      </c>
      <c r="I276" s="325" t="s">
        <v>228</v>
      </c>
      <c r="J276" s="328">
        <v>17</v>
      </c>
      <c r="K276" s="329">
        <v>1742</v>
      </c>
      <c r="L276" s="325" t="s">
        <v>2474</v>
      </c>
      <c r="M276" s="326" t="s">
        <v>2469</v>
      </c>
      <c r="N276" s="326"/>
      <c r="O276" s="330">
        <v>0</v>
      </c>
      <c r="P276" s="330">
        <v>3.27</v>
      </c>
      <c r="Q276" s="331">
        <v>1742</v>
      </c>
      <c r="R276" s="330">
        <v>66000</v>
      </c>
      <c r="S276" s="330">
        <v>2000</v>
      </c>
      <c r="T276" s="326" t="s">
        <v>170</v>
      </c>
      <c r="U276" s="326" t="s">
        <v>2040</v>
      </c>
      <c r="V276" s="332">
        <v>17720</v>
      </c>
      <c r="W276" s="333">
        <v>17420</v>
      </c>
    </row>
    <row r="277" spans="1:23" ht="45" customHeight="1" x14ac:dyDescent="0.4">
      <c r="A277" s="323">
        <v>174321</v>
      </c>
      <c r="B277" s="324" t="s">
        <v>4333</v>
      </c>
      <c r="C277" s="325" t="s">
        <v>2475</v>
      </c>
      <c r="D277" s="326" t="s">
        <v>2045</v>
      </c>
      <c r="E277" s="327" t="s">
        <v>845</v>
      </c>
      <c r="F277" s="327"/>
      <c r="G277" s="327" t="s">
        <v>846</v>
      </c>
      <c r="H277" s="325" t="s">
        <v>228</v>
      </c>
      <c r="I277" s="325" t="s">
        <v>228</v>
      </c>
      <c r="J277" s="328">
        <v>17</v>
      </c>
      <c r="K277" s="329">
        <v>1743</v>
      </c>
      <c r="L277" s="325" t="s">
        <v>2476</v>
      </c>
      <c r="M277" s="326" t="s">
        <v>2469</v>
      </c>
      <c r="N277" s="326"/>
      <c r="O277" s="330">
        <v>0</v>
      </c>
      <c r="P277" s="330">
        <v>0</v>
      </c>
      <c r="Q277" s="331">
        <v>1743</v>
      </c>
      <c r="R277" s="330">
        <v>50000</v>
      </c>
      <c r="S277" s="330">
        <v>1900</v>
      </c>
      <c r="T277" s="326" t="s">
        <v>170</v>
      </c>
      <c r="U277" s="326" t="s">
        <v>2040</v>
      </c>
      <c r="V277" s="332">
        <v>17731</v>
      </c>
      <c r="W277" s="333">
        <v>17431</v>
      </c>
    </row>
    <row r="278" spans="1:23" ht="45" customHeight="1" x14ac:dyDescent="0.4">
      <c r="A278" s="323">
        <v>174322</v>
      </c>
      <c r="B278" s="324" t="s">
        <v>4334</v>
      </c>
      <c r="C278" s="325" t="s">
        <v>2477</v>
      </c>
      <c r="D278" s="326" t="s">
        <v>2045</v>
      </c>
      <c r="E278" s="327" t="s">
        <v>845</v>
      </c>
      <c r="F278" s="327"/>
      <c r="G278" s="327" t="s">
        <v>847</v>
      </c>
      <c r="H278" s="325" t="s">
        <v>228</v>
      </c>
      <c r="I278" s="325" t="s">
        <v>228</v>
      </c>
      <c r="J278" s="328">
        <v>17</v>
      </c>
      <c r="K278" s="329">
        <v>1743</v>
      </c>
      <c r="L278" s="325" t="s">
        <v>2476</v>
      </c>
      <c r="M278" s="326" t="s">
        <v>2469</v>
      </c>
      <c r="N278" s="326"/>
      <c r="O278" s="330">
        <v>0</v>
      </c>
      <c r="P278" s="330">
        <v>0</v>
      </c>
      <c r="Q278" s="331">
        <v>1743</v>
      </c>
      <c r="R278" s="330">
        <v>50000</v>
      </c>
      <c r="S278" s="330">
        <v>1900</v>
      </c>
      <c r="T278" s="326" t="s">
        <v>170</v>
      </c>
      <c r="U278" s="326" t="s">
        <v>2040</v>
      </c>
      <c r="V278" s="332">
        <v>17730</v>
      </c>
      <c r="W278" s="333">
        <v>17430</v>
      </c>
    </row>
    <row r="279" spans="1:23" ht="45" customHeight="1" x14ac:dyDescent="0.4">
      <c r="A279" s="323">
        <v>174499</v>
      </c>
      <c r="B279" s="324" t="s">
        <v>2478</v>
      </c>
      <c r="C279" s="325" t="s">
        <v>848</v>
      </c>
      <c r="D279" s="326" t="s">
        <v>2045</v>
      </c>
      <c r="E279" s="327" t="s">
        <v>849</v>
      </c>
      <c r="F279" s="327"/>
      <c r="G279" s="327" t="s">
        <v>850</v>
      </c>
      <c r="H279" s="325" t="s">
        <v>228</v>
      </c>
      <c r="I279" s="325" t="s">
        <v>228</v>
      </c>
      <c r="J279" s="328">
        <v>17</v>
      </c>
      <c r="K279" s="329">
        <v>1744</v>
      </c>
      <c r="L279" s="325" t="s">
        <v>2478</v>
      </c>
      <c r="M279" s="326" t="s">
        <v>2469</v>
      </c>
      <c r="N279" s="326"/>
      <c r="O279" s="330">
        <v>0</v>
      </c>
      <c r="P279" s="330">
        <v>2.29</v>
      </c>
      <c r="Q279" s="331">
        <v>1744</v>
      </c>
      <c r="R279" s="330">
        <v>2800</v>
      </c>
      <c r="S279" s="330">
        <v>300</v>
      </c>
      <c r="T279" s="326" t="s">
        <v>170</v>
      </c>
      <c r="U279" s="326" t="s">
        <v>2040</v>
      </c>
      <c r="V279" s="332">
        <v>17991</v>
      </c>
      <c r="W279" s="333">
        <v>17440</v>
      </c>
    </row>
    <row r="280" spans="1:23" ht="45" customHeight="1" x14ac:dyDescent="0.4">
      <c r="A280" s="323">
        <v>174521</v>
      </c>
      <c r="B280" s="324" t="s">
        <v>4335</v>
      </c>
      <c r="C280" s="325" t="s">
        <v>2479</v>
      </c>
      <c r="D280" s="326" t="s">
        <v>2045</v>
      </c>
      <c r="E280" s="327" t="s">
        <v>851</v>
      </c>
      <c r="F280" s="327"/>
      <c r="G280" s="327" t="s">
        <v>852</v>
      </c>
      <c r="H280" s="325" t="s">
        <v>228</v>
      </c>
      <c r="I280" s="325" t="s">
        <v>228</v>
      </c>
      <c r="J280" s="328">
        <v>17</v>
      </c>
      <c r="K280" s="329">
        <v>1745</v>
      </c>
      <c r="L280" s="325" t="s">
        <v>2480</v>
      </c>
      <c r="M280" s="326" t="s">
        <v>2469</v>
      </c>
      <c r="N280" s="326"/>
      <c r="O280" s="330">
        <v>200496.49</v>
      </c>
      <c r="P280" s="330">
        <v>86</v>
      </c>
      <c r="Q280" s="331">
        <v>1745</v>
      </c>
      <c r="R280" s="330">
        <v>65</v>
      </c>
      <c r="S280" s="330">
        <v>6</v>
      </c>
      <c r="T280" s="326" t="s">
        <v>170</v>
      </c>
      <c r="U280" s="326" t="s">
        <v>2040</v>
      </c>
      <c r="V280" s="332">
        <v>17980</v>
      </c>
      <c r="W280" s="333">
        <v>17960</v>
      </c>
    </row>
    <row r="281" spans="1:23" ht="45" customHeight="1" x14ac:dyDescent="0.4">
      <c r="A281" s="323">
        <v>175121</v>
      </c>
      <c r="B281" s="324" t="s">
        <v>4336</v>
      </c>
      <c r="C281" s="325" t="s">
        <v>2481</v>
      </c>
      <c r="D281" s="326" t="s">
        <v>2045</v>
      </c>
      <c r="E281" s="327" t="s">
        <v>853</v>
      </c>
      <c r="F281" s="327"/>
      <c r="G281" s="327" t="s">
        <v>854</v>
      </c>
      <c r="H281" s="325" t="s">
        <v>228</v>
      </c>
      <c r="I281" s="325" t="s">
        <v>228</v>
      </c>
      <c r="J281" s="328">
        <v>17</v>
      </c>
      <c r="K281" s="329">
        <v>1751</v>
      </c>
      <c r="L281" s="325" t="s">
        <v>2482</v>
      </c>
      <c r="M281" s="326" t="s">
        <v>2483</v>
      </c>
      <c r="N281" s="326"/>
      <c r="O281" s="330">
        <v>9557.77</v>
      </c>
      <c r="P281" s="330">
        <v>68.77</v>
      </c>
      <c r="Q281" s="331">
        <v>1751</v>
      </c>
      <c r="R281" s="330">
        <v>100</v>
      </c>
      <c r="S281" s="330">
        <v>27</v>
      </c>
      <c r="T281" s="326" t="s">
        <v>170</v>
      </c>
      <c r="U281" s="326" t="s">
        <v>2040</v>
      </c>
      <c r="V281" s="332">
        <v>17801</v>
      </c>
      <c r="W281" s="333">
        <v>17510</v>
      </c>
    </row>
    <row r="282" spans="1:23" ht="45" customHeight="1" x14ac:dyDescent="0.4">
      <c r="A282" s="323">
        <v>175221</v>
      </c>
      <c r="B282" s="324" t="s">
        <v>4337</v>
      </c>
      <c r="C282" s="325" t="s">
        <v>2484</v>
      </c>
      <c r="D282" s="326" t="s">
        <v>2045</v>
      </c>
      <c r="E282" s="327" t="s">
        <v>855</v>
      </c>
      <c r="F282" s="327"/>
      <c r="G282" s="327" t="s">
        <v>856</v>
      </c>
      <c r="H282" s="325" t="s">
        <v>228</v>
      </c>
      <c r="I282" s="325" t="s">
        <v>228</v>
      </c>
      <c r="J282" s="328">
        <v>17</v>
      </c>
      <c r="K282" s="329">
        <v>1752</v>
      </c>
      <c r="L282" s="325" t="s">
        <v>2485</v>
      </c>
      <c r="M282" s="326" t="s">
        <v>2483</v>
      </c>
      <c r="N282" s="326"/>
      <c r="O282" s="330">
        <v>91628.59</v>
      </c>
      <c r="P282" s="330">
        <v>295.73</v>
      </c>
      <c r="Q282" s="331">
        <v>1752</v>
      </c>
      <c r="R282" s="330">
        <v>35</v>
      </c>
      <c r="S282" s="330">
        <v>12</v>
      </c>
      <c r="T282" s="326" t="s">
        <v>170</v>
      </c>
      <c r="U282" s="326" t="s">
        <v>2040</v>
      </c>
      <c r="V282" s="332">
        <v>17803</v>
      </c>
      <c r="W282" s="333">
        <v>17520</v>
      </c>
    </row>
    <row r="283" spans="1:23" ht="45" customHeight="1" x14ac:dyDescent="0.4">
      <c r="A283" s="323">
        <v>175300</v>
      </c>
      <c r="B283" s="324" t="s">
        <v>4338</v>
      </c>
      <c r="C283" s="325" t="s">
        <v>2486</v>
      </c>
      <c r="D283" s="326" t="s">
        <v>2045</v>
      </c>
      <c r="E283" s="327" t="s">
        <v>4339</v>
      </c>
      <c r="F283" s="327"/>
      <c r="G283" s="327" t="s">
        <v>383</v>
      </c>
      <c r="H283" s="325" t="s">
        <v>228</v>
      </c>
      <c r="I283" s="325" t="s">
        <v>228</v>
      </c>
      <c r="J283" s="328">
        <v>17</v>
      </c>
      <c r="K283" s="329">
        <v>1753</v>
      </c>
      <c r="L283" s="325" t="s">
        <v>2487</v>
      </c>
      <c r="M283" s="326" t="s">
        <v>2483</v>
      </c>
      <c r="N283" s="326" t="s">
        <v>2469</v>
      </c>
      <c r="O283" s="330">
        <v>140723.37</v>
      </c>
      <c r="P283" s="330">
        <v>466.82</v>
      </c>
      <c r="Q283" s="331">
        <v>1753</v>
      </c>
      <c r="R283" s="330">
        <v>30</v>
      </c>
      <c r="S283" s="330">
        <v>14</v>
      </c>
      <c r="T283" s="326" t="s">
        <v>170</v>
      </c>
      <c r="U283" s="326" t="s">
        <v>2040</v>
      </c>
      <c r="V283" s="332">
        <v>17806</v>
      </c>
      <c r="W283" s="333">
        <v>17532</v>
      </c>
    </row>
    <row r="284" spans="1:23" ht="45" customHeight="1" x14ac:dyDescent="0.4">
      <c r="A284" s="323">
        <v>175321</v>
      </c>
      <c r="B284" s="324" t="s">
        <v>4340</v>
      </c>
      <c r="C284" s="325" t="s">
        <v>2488</v>
      </c>
      <c r="D284" s="326" t="s">
        <v>2045</v>
      </c>
      <c r="E284" s="327" t="s">
        <v>857</v>
      </c>
      <c r="F284" s="327"/>
      <c r="G284" s="327" t="s">
        <v>858</v>
      </c>
      <c r="H284" s="325" t="s">
        <v>228</v>
      </c>
      <c r="I284" s="325" t="s">
        <v>228</v>
      </c>
      <c r="J284" s="328">
        <v>17</v>
      </c>
      <c r="K284" s="329">
        <v>1753</v>
      </c>
      <c r="L284" s="325" t="s">
        <v>2487</v>
      </c>
      <c r="M284" s="326" t="s">
        <v>2483</v>
      </c>
      <c r="N284" s="326"/>
      <c r="O284" s="330">
        <v>140723.37</v>
      </c>
      <c r="P284" s="330">
        <v>466.82</v>
      </c>
      <c r="Q284" s="331">
        <v>1753</v>
      </c>
      <c r="R284" s="330">
        <v>30</v>
      </c>
      <c r="S284" s="330">
        <v>14</v>
      </c>
      <c r="T284" s="326" t="s">
        <v>170</v>
      </c>
      <c r="U284" s="326" t="s">
        <v>2040</v>
      </c>
      <c r="V284" s="332">
        <v>17805</v>
      </c>
      <c r="W284" s="333">
        <v>17531</v>
      </c>
    </row>
    <row r="285" spans="1:23" ht="45" customHeight="1" x14ac:dyDescent="0.4">
      <c r="A285" s="323">
        <v>175421</v>
      </c>
      <c r="B285" s="324" t="s">
        <v>4341</v>
      </c>
      <c r="C285" s="325" t="s">
        <v>2489</v>
      </c>
      <c r="D285" s="326" t="s">
        <v>2045</v>
      </c>
      <c r="E285" s="327" t="s">
        <v>859</v>
      </c>
      <c r="F285" s="327"/>
      <c r="G285" s="327" t="s">
        <v>860</v>
      </c>
      <c r="H285" s="325" t="s">
        <v>228</v>
      </c>
      <c r="I285" s="325" t="s">
        <v>228</v>
      </c>
      <c r="J285" s="328">
        <v>17</v>
      </c>
      <c r="K285" s="329">
        <v>1754</v>
      </c>
      <c r="L285" s="325" t="s">
        <v>2490</v>
      </c>
      <c r="M285" s="326" t="s">
        <v>2483</v>
      </c>
      <c r="N285" s="326"/>
      <c r="O285" s="330">
        <v>9986.73</v>
      </c>
      <c r="P285" s="330">
        <v>99.92</v>
      </c>
      <c r="Q285" s="331">
        <v>1754</v>
      </c>
      <c r="R285" s="330">
        <v>50</v>
      </c>
      <c r="S285" s="330">
        <v>14</v>
      </c>
      <c r="T285" s="326" t="s">
        <v>170</v>
      </c>
      <c r="U285" s="326" t="s">
        <v>2040</v>
      </c>
      <c r="V285" s="332">
        <v>17807</v>
      </c>
      <c r="W285" s="333"/>
    </row>
    <row r="286" spans="1:23" ht="45" customHeight="1" x14ac:dyDescent="0.4">
      <c r="A286" s="323">
        <v>175422</v>
      </c>
      <c r="B286" s="324" t="s">
        <v>4342</v>
      </c>
      <c r="C286" s="325" t="s">
        <v>2491</v>
      </c>
      <c r="D286" s="326" t="s">
        <v>2045</v>
      </c>
      <c r="E286" s="327" t="s">
        <v>861</v>
      </c>
      <c r="F286" s="327"/>
      <c r="G286" s="327" t="s">
        <v>862</v>
      </c>
      <c r="H286" s="325" t="s">
        <v>228</v>
      </c>
      <c r="I286" s="325" t="s">
        <v>228</v>
      </c>
      <c r="J286" s="328">
        <v>17</v>
      </c>
      <c r="K286" s="329">
        <v>1754</v>
      </c>
      <c r="L286" s="325" t="s">
        <v>2490</v>
      </c>
      <c r="M286" s="326" t="s">
        <v>2483</v>
      </c>
      <c r="N286" s="326"/>
      <c r="O286" s="330">
        <v>9986.73</v>
      </c>
      <c r="P286" s="330">
        <v>99.92</v>
      </c>
      <c r="Q286" s="331">
        <v>1754</v>
      </c>
      <c r="R286" s="330">
        <v>50</v>
      </c>
      <c r="S286" s="330">
        <v>14</v>
      </c>
      <c r="T286" s="326" t="s">
        <v>170</v>
      </c>
      <c r="U286" s="326" t="s">
        <v>2040</v>
      </c>
      <c r="V286" s="332">
        <v>17808</v>
      </c>
      <c r="W286" s="333"/>
    </row>
    <row r="287" spans="1:23" ht="45" customHeight="1" x14ac:dyDescent="0.4">
      <c r="A287" s="323">
        <v>175521</v>
      </c>
      <c r="B287" s="324" t="s">
        <v>4343</v>
      </c>
      <c r="C287" s="325" t="s">
        <v>2492</v>
      </c>
      <c r="D287" s="326" t="s">
        <v>2045</v>
      </c>
      <c r="E287" s="327" t="s">
        <v>863</v>
      </c>
      <c r="F287" s="327"/>
      <c r="G287" s="327" t="s">
        <v>864</v>
      </c>
      <c r="H287" s="325" t="s">
        <v>228</v>
      </c>
      <c r="I287" s="325" t="s">
        <v>228</v>
      </c>
      <c r="J287" s="328">
        <v>17</v>
      </c>
      <c r="K287" s="329">
        <v>1755</v>
      </c>
      <c r="L287" s="325" t="s">
        <v>2493</v>
      </c>
      <c r="M287" s="326" t="s">
        <v>2483</v>
      </c>
      <c r="N287" s="326"/>
      <c r="O287" s="330">
        <v>17145.61</v>
      </c>
      <c r="P287" s="330">
        <v>221.96</v>
      </c>
      <c r="Q287" s="331">
        <v>1755</v>
      </c>
      <c r="R287" s="330">
        <v>70</v>
      </c>
      <c r="S287" s="330">
        <v>23</v>
      </c>
      <c r="T287" s="326" t="s">
        <v>170</v>
      </c>
      <c r="U287" s="326" t="s">
        <v>2040</v>
      </c>
      <c r="V287" s="332">
        <v>17810</v>
      </c>
      <c r="W287" s="333">
        <v>17550</v>
      </c>
    </row>
    <row r="288" spans="1:23" ht="45" customHeight="1" x14ac:dyDescent="0.4">
      <c r="A288" s="323">
        <v>175621</v>
      </c>
      <c r="B288" s="324" t="s">
        <v>4344</v>
      </c>
      <c r="C288" s="325" t="s">
        <v>2494</v>
      </c>
      <c r="D288" s="326" t="s">
        <v>2045</v>
      </c>
      <c r="E288" s="327" t="s">
        <v>865</v>
      </c>
      <c r="F288" s="327"/>
      <c r="G288" s="327" t="s">
        <v>866</v>
      </c>
      <c r="H288" s="325" t="s">
        <v>228</v>
      </c>
      <c r="I288" s="325" t="s">
        <v>228</v>
      </c>
      <c r="J288" s="328">
        <v>17</v>
      </c>
      <c r="K288" s="329">
        <v>1756</v>
      </c>
      <c r="L288" s="325" t="s">
        <v>2495</v>
      </c>
      <c r="M288" s="326" t="s">
        <v>2483</v>
      </c>
      <c r="N288" s="326"/>
      <c r="O288" s="330">
        <v>253240.77</v>
      </c>
      <c r="P288" s="330">
        <v>946.27</v>
      </c>
      <c r="Q288" s="331">
        <v>1756</v>
      </c>
      <c r="R288" s="330">
        <v>15</v>
      </c>
      <c r="S288" s="330">
        <v>5</v>
      </c>
      <c r="T288" s="326" t="s">
        <v>170</v>
      </c>
      <c r="U288" s="326" t="s">
        <v>2040</v>
      </c>
      <c r="V288" s="332" t="s">
        <v>3831</v>
      </c>
      <c r="W288" s="333">
        <v>17560</v>
      </c>
    </row>
    <row r="289" spans="1:23" ht="45" customHeight="1" x14ac:dyDescent="0.4">
      <c r="A289" s="323">
        <v>175622</v>
      </c>
      <c r="B289" s="324" t="s">
        <v>4345</v>
      </c>
      <c r="C289" s="325" t="s">
        <v>2496</v>
      </c>
      <c r="D289" s="326" t="s">
        <v>2045</v>
      </c>
      <c r="E289" s="327" t="s">
        <v>867</v>
      </c>
      <c r="F289" s="327"/>
      <c r="G289" s="327" t="s">
        <v>868</v>
      </c>
      <c r="H289" s="325" t="s">
        <v>228</v>
      </c>
      <c r="I289" s="325" t="s">
        <v>228</v>
      </c>
      <c r="J289" s="328">
        <v>17</v>
      </c>
      <c r="K289" s="329">
        <v>1756</v>
      </c>
      <c r="L289" s="325" t="s">
        <v>2495</v>
      </c>
      <c r="M289" s="326" t="s">
        <v>2483</v>
      </c>
      <c r="N289" s="326"/>
      <c r="O289" s="330">
        <v>253240.77</v>
      </c>
      <c r="P289" s="330">
        <v>946.27</v>
      </c>
      <c r="Q289" s="331">
        <v>1756</v>
      </c>
      <c r="R289" s="330">
        <v>15</v>
      </c>
      <c r="S289" s="330">
        <v>5</v>
      </c>
      <c r="T289" s="326" t="s">
        <v>170</v>
      </c>
      <c r="U289" s="326" t="s">
        <v>2040</v>
      </c>
      <c r="V289" s="332">
        <v>17812</v>
      </c>
      <c r="W289" s="333">
        <v>17561</v>
      </c>
    </row>
    <row r="290" spans="1:23" ht="45" customHeight="1" x14ac:dyDescent="0.4">
      <c r="A290" s="323">
        <v>175721</v>
      </c>
      <c r="B290" s="324" t="s">
        <v>4346</v>
      </c>
      <c r="C290" s="325" t="s">
        <v>2497</v>
      </c>
      <c r="D290" s="326" t="s">
        <v>2045</v>
      </c>
      <c r="E290" s="327" t="s">
        <v>869</v>
      </c>
      <c r="F290" s="327"/>
      <c r="G290" s="327" t="s">
        <v>870</v>
      </c>
      <c r="H290" s="325" t="s">
        <v>228</v>
      </c>
      <c r="I290" s="325" t="s">
        <v>228</v>
      </c>
      <c r="J290" s="328">
        <v>17</v>
      </c>
      <c r="K290" s="329">
        <v>1757</v>
      </c>
      <c r="L290" s="325" t="s">
        <v>2498</v>
      </c>
      <c r="M290" s="326" t="s">
        <v>2483</v>
      </c>
      <c r="N290" s="326"/>
      <c r="O290" s="330">
        <v>50658.78</v>
      </c>
      <c r="P290" s="330">
        <v>207.63</v>
      </c>
      <c r="Q290" s="331">
        <v>1757</v>
      </c>
      <c r="R290" s="330">
        <v>50</v>
      </c>
      <c r="S290" s="330">
        <v>13</v>
      </c>
      <c r="T290" s="326" t="s">
        <v>170</v>
      </c>
      <c r="U290" s="326" t="s">
        <v>2040</v>
      </c>
      <c r="V290" s="332">
        <v>17821</v>
      </c>
      <c r="W290" s="333" t="s">
        <v>2499</v>
      </c>
    </row>
    <row r="291" spans="1:23" ht="45" customHeight="1" x14ac:dyDescent="0.4">
      <c r="A291" s="323">
        <v>175821</v>
      </c>
      <c r="B291" s="324" t="s">
        <v>4347</v>
      </c>
      <c r="C291" s="325" t="s">
        <v>2500</v>
      </c>
      <c r="D291" s="326" t="s">
        <v>2045</v>
      </c>
      <c r="E291" s="327" t="s">
        <v>871</v>
      </c>
      <c r="F291" s="327"/>
      <c r="G291" s="327" t="s">
        <v>872</v>
      </c>
      <c r="H291" s="325" t="s">
        <v>228</v>
      </c>
      <c r="I291" s="325" t="s">
        <v>228</v>
      </c>
      <c r="J291" s="328">
        <v>17</v>
      </c>
      <c r="K291" s="329">
        <v>1758</v>
      </c>
      <c r="L291" s="325" t="s">
        <v>2501</v>
      </c>
      <c r="M291" s="326" t="s">
        <v>2483</v>
      </c>
      <c r="N291" s="326"/>
      <c r="O291" s="330">
        <v>173048.44</v>
      </c>
      <c r="P291" s="330">
        <v>693.96</v>
      </c>
      <c r="Q291" s="331">
        <v>1758</v>
      </c>
      <c r="R291" s="330">
        <v>11</v>
      </c>
      <c r="S291" s="330">
        <v>5</v>
      </c>
      <c r="T291" s="326" t="s">
        <v>170</v>
      </c>
      <c r="U291" s="326" t="s">
        <v>2040</v>
      </c>
      <c r="V291" s="332">
        <v>17832</v>
      </c>
      <c r="W291" s="333">
        <v>17581</v>
      </c>
    </row>
    <row r="292" spans="1:23" ht="45" customHeight="1" x14ac:dyDescent="0.4">
      <c r="A292" s="323">
        <v>176221</v>
      </c>
      <c r="B292" s="324" t="s">
        <v>4348</v>
      </c>
      <c r="C292" s="325" t="s">
        <v>2502</v>
      </c>
      <c r="D292" s="326" t="s">
        <v>2045</v>
      </c>
      <c r="E292" s="327" t="s">
        <v>873</v>
      </c>
      <c r="F292" s="327"/>
      <c r="G292" s="327" t="s">
        <v>874</v>
      </c>
      <c r="H292" s="325" t="s">
        <v>228</v>
      </c>
      <c r="I292" s="325" t="s">
        <v>228</v>
      </c>
      <c r="J292" s="328">
        <v>17</v>
      </c>
      <c r="K292" s="329">
        <v>1762</v>
      </c>
      <c r="L292" s="325" t="s">
        <v>2503</v>
      </c>
      <c r="M292" s="326" t="s">
        <v>2504</v>
      </c>
      <c r="N292" s="326"/>
      <c r="O292" s="330">
        <v>5695.41</v>
      </c>
      <c r="P292" s="330">
        <v>997.71</v>
      </c>
      <c r="Q292" s="331">
        <v>1762</v>
      </c>
      <c r="R292" s="330">
        <v>8</v>
      </c>
      <c r="S292" s="330">
        <v>2</v>
      </c>
      <c r="T292" s="326" t="s">
        <v>170</v>
      </c>
      <c r="U292" s="326" t="s">
        <v>2040</v>
      </c>
      <c r="V292" s="332">
        <v>17834</v>
      </c>
      <c r="W292" s="333">
        <v>17620</v>
      </c>
    </row>
    <row r="293" spans="1:23" ht="45" customHeight="1" x14ac:dyDescent="0.4">
      <c r="A293" s="323">
        <v>176321</v>
      </c>
      <c r="B293" s="324" t="s">
        <v>4349</v>
      </c>
      <c r="C293" s="325" t="s">
        <v>2505</v>
      </c>
      <c r="D293" s="326" t="s">
        <v>2045</v>
      </c>
      <c r="E293" s="327" t="s">
        <v>875</v>
      </c>
      <c r="F293" s="327"/>
      <c r="G293" s="327" t="s">
        <v>876</v>
      </c>
      <c r="H293" s="325" t="s">
        <v>228</v>
      </c>
      <c r="I293" s="325" t="s">
        <v>228</v>
      </c>
      <c r="J293" s="328">
        <v>17</v>
      </c>
      <c r="K293" s="329">
        <v>1763</v>
      </c>
      <c r="L293" s="325" t="s">
        <v>2506</v>
      </c>
      <c r="M293" s="326" t="s">
        <v>2483</v>
      </c>
      <c r="N293" s="326"/>
      <c r="O293" s="330">
        <v>845038.82</v>
      </c>
      <c r="P293" s="330">
        <v>1014.4</v>
      </c>
      <c r="Q293" s="331">
        <v>1763</v>
      </c>
      <c r="R293" s="330">
        <v>10</v>
      </c>
      <c r="S293" s="330">
        <v>3</v>
      </c>
      <c r="T293" s="326" t="s">
        <v>170</v>
      </c>
      <c r="U293" s="326" t="s">
        <v>2040</v>
      </c>
      <c r="V293" s="332">
        <v>17841</v>
      </c>
      <c r="W293" s="333">
        <v>17630</v>
      </c>
    </row>
    <row r="294" spans="1:23" ht="45" customHeight="1" x14ac:dyDescent="0.4">
      <c r="A294" s="323">
        <v>176322</v>
      </c>
      <c r="B294" s="324" t="s">
        <v>4350</v>
      </c>
      <c r="C294" s="325" t="s">
        <v>2507</v>
      </c>
      <c r="D294" s="326" t="s">
        <v>2045</v>
      </c>
      <c r="E294" s="327" t="s">
        <v>877</v>
      </c>
      <c r="F294" s="327"/>
      <c r="G294" s="327" t="s">
        <v>878</v>
      </c>
      <c r="H294" s="325" t="s">
        <v>228</v>
      </c>
      <c r="I294" s="325" t="s">
        <v>228</v>
      </c>
      <c r="J294" s="328">
        <v>17</v>
      </c>
      <c r="K294" s="329">
        <v>1763</v>
      </c>
      <c r="L294" s="325" t="s">
        <v>2506</v>
      </c>
      <c r="M294" s="326" t="s">
        <v>2483</v>
      </c>
      <c r="N294" s="326"/>
      <c r="O294" s="330">
        <v>845038.82</v>
      </c>
      <c r="P294" s="330">
        <v>1014.4</v>
      </c>
      <c r="Q294" s="331">
        <v>1763</v>
      </c>
      <c r="R294" s="330">
        <v>10</v>
      </c>
      <c r="S294" s="330">
        <v>3</v>
      </c>
      <c r="T294" s="326" t="s">
        <v>170</v>
      </c>
      <c r="U294" s="326" t="s">
        <v>2040</v>
      </c>
      <c r="V294" s="332">
        <v>17842</v>
      </c>
      <c r="W294" s="333">
        <v>17631</v>
      </c>
    </row>
    <row r="295" spans="1:23" ht="45" customHeight="1" x14ac:dyDescent="0.4">
      <c r="A295" s="323">
        <v>176521</v>
      </c>
      <c r="B295" s="324" t="s">
        <v>4351</v>
      </c>
      <c r="C295" s="325" t="s">
        <v>2508</v>
      </c>
      <c r="D295" s="326" t="s">
        <v>2045</v>
      </c>
      <c r="E295" s="327" t="s">
        <v>879</v>
      </c>
      <c r="F295" s="327"/>
      <c r="G295" s="327" t="s">
        <v>880</v>
      </c>
      <c r="H295" s="325" t="s">
        <v>228</v>
      </c>
      <c r="I295" s="325" t="s">
        <v>228</v>
      </c>
      <c r="J295" s="328">
        <v>17</v>
      </c>
      <c r="K295" s="329">
        <v>1765</v>
      </c>
      <c r="L295" s="325" t="s">
        <v>2509</v>
      </c>
      <c r="M295" s="326" t="s">
        <v>2076</v>
      </c>
      <c r="N295" s="326"/>
      <c r="O295" s="330">
        <v>1483789.22</v>
      </c>
      <c r="P295" s="330">
        <v>2805.76</v>
      </c>
      <c r="Q295" s="331">
        <v>1765</v>
      </c>
      <c r="R295" s="330">
        <v>1</v>
      </c>
      <c r="S295" s="330">
        <v>1</v>
      </c>
      <c r="T295" s="326" t="s">
        <v>170</v>
      </c>
      <c r="U295" s="326" t="s">
        <v>2040</v>
      </c>
      <c r="V295" s="332">
        <v>17855</v>
      </c>
      <c r="W295" s="333">
        <v>17650</v>
      </c>
    </row>
    <row r="296" spans="1:23" ht="45" customHeight="1" x14ac:dyDescent="0.4">
      <c r="A296" s="323">
        <v>176621</v>
      </c>
      <c r="B296" s="324" t="s">
        <v>4352</v>
      </c>
      <c r="C296" s="325" t="s">
        <v>2510</v>
      </c>
      <c r="D296" s="326" t="s">
        <v>2045</v>
      </c>
      <c r="E296" s="327" t="s">
        <v>881</v>
      </c>
      <c r="F296" s="327"/>
      <c r="G296" s="327" t="s">
        <v>882</v>
      </c>
      <c r="H296" s="325" t="s">
        <v>228</v>
      </c>
      <c r="I296" s="325" t="s">
        <v>228</v>
      </c>
      <c r="J296" s="328">
        <v>17</v>
      </c>
      <c r="K296" s="329">
        <v>1766</v>
      </c>
      <c r="L296" s="325" t="s">
        <v>2511</v>
      </c>
      <c r="M296" s="326" t="s">
        <v>2076</v>
      </c>
      <c r="N296" s="326"/>
      <c r="O296" s="330">
        <v>12123354.76</v>
      </c>
      <c r="P296" s="330">
        <v>34195.120000000003</v>
      </c>
      <c r="Q296" s="331">
        <v>1766</v>
      </c>
      <c r="R296" s="330">
        <v>1</v>
      </c>
      <c r="S296" s="330">
        <v>1</v>
      </c>
      <c r="T296" s="326" t="s">
        <v>170</v>
      </c>
      <c r="U296" s="326" t="s">
        <v>2040</v>
      </c>
      <c r="V296" s="332">
        <v>17863</v>
      </c>
      <c r="W296" s="333">
        <v>17660</v>
      </c>
    </row>
    <row r="297" spans="1:23" ht="45" customHeight="1" x14ac:dyDescent="0.4">
      <c r="A297" s="323">
        <v>176721</v>
      </c>
      <c r="B297" s="324" t="s">
        <v>4353</v>
      </c>
      <c r="C297" s="325" t="s">
        <v>883</v>
      </c>
      <c r="D297" s="326" t="s">
        <v>2045</v>
      </c>
      <c r="E297" s="327" t="s">
        <v>884</v>
      </c>
      <c r="F297" s="327"/>
      <c r="G297" s="327" t="s">
        <v>885</v>
      </c>
      <c r="H297" s="325" t="s">
        <v>228</v>
      </c>
      <c r="I297" s="325" t="s">
        <v>228</v>
      </c>
      <c r="J297" s="328">
        <v>17</v>
      </c>
      <c r="K297" s="329">
        <v>1767</v>
      </c>
      <c r="L297" s="325" t="s">
        <v>2512</v>
      </c>
      <c r="M297" s="326" t="s">
        <v>2076</v>
      </c>
      <c r="N297" s="326"/>
      <c r="O297" s="330">
        <v>0</v>
      </c>
      <c r="P297" s="330">
        <v>0</v>
      </c>
      <c r="Q297" s="331">
        <v>1767</v>
      </c>
      <c r="R297" s="330">
        <v>1</v>
      </c>
      <c r="S297" s="330">
        <v>1</v>
      </c>
      <c r="T297" s="326" t="s">
        <v>170</v>
      </c>
      <c r="U297" s="326" t="s">
        <v>2040</v>
      </c>
      <c r="V297" s="332">
        <v>17852</v>
      </c>
      <c r="W297" s="333">
        <v>17670</v>
      </c>
    </row>
    <row r="298" spans="1:23" ht="45" customHeight="1" x14ac:dyDescent="0.4">
      <c r="A298" s="323">
        <v>176722</v>
      </c>
      <c r="B298" s="324" t="s">
        <v>4354</v>
      </c>
      <c r="C298" s="325" t="s">
        <v>2513</v>
      </c>
      <c r="D298" s="326" t="s">
        <v>2045</v>
      </c>
      <c r="E298" s="327" t="s">
        <v>886</v>
      </c>
      <c r="F298" s="327"/>
      <c r="G298" s="327" t="s">
        <v>887</v>
      </c>
      <c r="H298" s="325" t="s">
        <v>228</v>
      </c>
      <c r="I298" s="325" t="s">
        <v>228</v>
      </c>
      <c r="J298" s="328">
        <v>17</v>
      </c>
      <c r="K298" s="329">
        <v>1767</v>
      </c>
      <c r="L298" s="325" t="s">
        <v>2512</v>
      </c>
      <c r="M298" s="326" t="s">
        <v>2076</v>
      </c>
      <c r="N298" s="326"/>
      <c r="O298" s="330">
        <v>0</v>
      </c>
      <c r="P298" s="330">
        <v>0</v>
      </c>
      <c r="Q298" s="331">
        <v>1767</v>
      </c>
      <c r="R298" s="330">
        <v>1</v>
      </c>
      <c r="S298" s="330">
        <v>1</v>
      </c>
      <c r="T298" s="326" t="s">
        <v>170</v>
      </c>
      <c r="U298" s="326" t="s">
        <v>2040</v>
      </c>
      <c r="V298" s="332">
        <v>17856</v>
      </c>
      <c r="W298" s="333">
        <v>17671</v>
      </c>
    </row>
    <row r="299" spans="1:23" ht="45" customHeight="1" x14ac:dyDescent="0.4">
      <c r="A299" s="323">
        <v>176821</v>
      </c>
      <c r="B299" s="324" t="s">
        <v>4355</v>
      </c>
      <c r="C299" s="325" t="s">
        <v>2514</v>
      </c>
      <c r="D299" s="326" t="s">
        <v>2045</v>
      </c>
      <c r="E299" s="327" t="s">
        <v>888</v>
      </c>
      <c r="F299" s="327"/>
      <c r="G299" s="327" t="s">
        <v>889</v>
      </c>
      <c r="H299" s="325" t="s">
        <v>228</v>
      </c>
      <c r="I299" s="325" t="s">
        <v>228</v>
      </c>
      <c r="J299" s="328">
        <v>17</v>
      </c>
      <c r="K299" s="329">
        <v>1768</v>
      </c>
      <c r="L299" s="325" t="s">
        <v>2515</v>
      </c>
      <c r="M299" s="326" t="s">
        <v>2076</v>
      </c>
      <c r="N299" s="326"/>
      <c r="O299" s="330">
        <v>36126.9</v>
      </c>
      <c r="P299" s="330">
        <v>178.76</v>
      </c>
      <c r="Q299" s="331">
        <v>1768</v>
      </c>
      <c r="R299" s="330">
        <v>1</v>
      </c>
      <c r="S299" s="330">
        <v>1</v>
      </c>
      <c r="T299" s="326" t="s">
        <v>170</v>
      </c>
      <c r="U299" s="326" t="s">
        <v>2040</v>
      </c>
      <c r="V299" s="332">
        <v>17851</v>
      </c>
      <c r="W299" s="333">
        <v>17680</v>
      </c>
    </row>
    <row r="300" spans="1:23" ht="45" customHeight="1" x14ac:dyDescent="0.4">
      <c r="A300" s="323">
        <v>177121</v>
      </c>
      <c r="B300" s="324" t="s">
        <v>4356</v>
      </c>
      <c r="C300" s="325" t="s">
        <v>2516</v>
      </c>
      <c r="D300" s="326" t="s">
        <v>2045</v>
      </c>
      <c r="E300" s="327" t="s">
        <v>890</v>
      </c>
      <c r="F300" s="327"/>
      <c r="G300" s="327" t="s">
        <v>891</v>
      </c>
      <c r="H300" s="325" t="s">
        <v>228</v>
      </c>
      <c r="I300" s="325" t="s">
        <v>228</v>
      </c>
      <c r="J300" s="328">
        <v>17</v>
      </c>
      <c r="K300" s="329">
        <v>1771</v>
      </c>
      <c r="L300" s="325" t="s">
        <v>2517</v>
      </c>
      <c r="M300" s="326" t="s">
        <v>2504</v>
      </c>
      <c r="N300" s="326"/>
      <c r="O300" s="330">
        <v>7534777.79</v>
      </c>
      <c r="P300" s="330">
        <v>57979.33</v>
      </c>
      <c r="Q300" s="331">
        <v>1771</v>
      </c>
      <c r="R300" s="330">
        <v>6</v>
      </c>
      <c r="S300" s="330">
        <v>2</v>
      </c>
      <c r="T300" s="326" t="s">
        <v>170</v>
      </c>
      <c r="U300" s="326" t="s">
        <v>2040</v>
      </c>
      <c r="V300" s="332">
        <v>17859</v>
      </c>
      <c r="W300" s="333">
        <v>17710</v>
      </c>
    </row>
    <row r="301" spans="1:23" ht="45" customHeight="1" x14ac:dyDescent="0.4">
      <c r="A301" s="323">
        <v>177122</v>
      </c>
      <c r="B301" s="324" t="s">
        <v>4357</v>
      </c>
      <c r="C301" s="325" t="s">
        <v>2518</v>
      </c>
      <c r="D301" s="326" t="s">
        <v>2045</v>
      </c>
      <c r="E301" s="327" t="s">
        <v>892</v>
      </c>
      <c r="F301" s="327"/>
      <c r="G301" s="327" t="s">
        <v>893</v>
      </c>
      <c r="H301" s="325" t="s">
        <v>228</v>
      </c>
      <c r="I301" s="325" t="s">
        <v>228</v>
      </c>
      <c r="J301" s="328">
        <v>17</v>
      </c>
      <c r="K301" s="329">
        <v>1771</v>
      </c>
      <c r="L301" s="325" t="s">
        <v>2517</v>
      </c>
      <c r="M301" s="326" t="s">
        <v>2504</v>
      </c>
      <c r="N301" s="326"/>
      <c r="O301" s="330">
        <v>7534777.79</v>
      </c>
      <c r="P301" s="330">
        <v>57979.33</v>
      </c>
      <c r="Q301" s="331">
        <v>1771</v>
      </c>
      <c r="R301" s="330">
        <v>6</v>
      </c>
      <c r="S301" s="330">
        <v>2</v>
      </c>
      <c r="T301" s="326" t="s">
        <v>170</v>
      </c>
      <c r="U301" s="326" t="s">
        <v>2040</v>
      </c>
      <c r="V301" s="332">
        <v>17865</v>
      </c>
      <c r="W301" s="333">
        <v>17711</v>
      </c>
    </row>
    <row r="302" spans="1:23" ht="45" customHeight="1" x14ac:dyDescent="0.4">
      <c r="A302" s="323">
        <v>177223</v>
      </c>
      <c r="B302" s="324" t="s">
        <v>4358</v>
      </c>
      <c r="C302" s="325" t="s">
        <v>2519</v>
      </c>
      <c r="D302" s="326" t="s">
        <v>2045</v>
      </c>
      <c r="E302" s="327" t="s">
        <v>894</v>
      </c>
      <c r="F302" s="327"/>
      <c r="G302" s="327" t="s">
        <v>895</v>
      </c>
      <c r="H302" s="325" t="s">
        <v>228</v>
      </c>
      <c r="I302" s="325" t="s">
        <v>228</v>
      </c>
      <c r="J302" s="328">
        <v>17</v>
      </c>
      <c r="K302" s="329">
        <v>1772</v>
      </c>
      <c r="L302" s="325" t="s">
        <v>2520</v>
      </c>
      <c r="M302" s="326" t="s">
        <v>2076</v>
      </c>
      <c r="N302" s="326"/>
      <c r="O302" s="330">
        <v>43904259.850000001</v>
      </c>
      <c r="P302" s="330">
        <v>98298.86</v>
      </c>
      <c r="Q302" s="331">
        <v>1772</v>
      </c>
      <c r="R302" s="330">
        <v>1</v>
      </c>
      <c r="S302" s="330">
        <v>1</v>
      </c>
      <c r="T302" s="326" t="s">
        <v>170</v>
      </c>
      <c r="U302" s="326" t="s">
        <v>2040</v>
      </c>
      <c r="V302" s="332">
        <v>17858</v>
      </c>
      <c r="W302" s="333" t="s">
        <v>2521</v>
      </c>
    </row>
    <row r="303" spans="1:23" ht="45" customHeight="1" x14ac:dyDescent="0.4">
      <c r="A303" s="323">
        <v>177421</v>
      </c>
      <c r="B303" s="324" t="s">
        <v>2523</v>
      </c>
      <c r="C303" s="325" t="s">
        <v>2522</v>
      </c>
      <c r="D303" s="326" t="s">
        <v>2045</v>
      </c>
      <c r="E303" s="327" t="s">
        <v>896</v>
      </c>
      <c r="F303" s="327"/>
      <c r="G303" s="327" t="s">
        <v>897</v>
      </c>
      <c r="H303" s="325" t="s">
        <v>228</v>
      </c>
      <c r="I303" s="325" t="s">
        <v>228</v>
      </c>
      <c r="J303" s="328">
        <v>17</v>
      </c>
      <c r="K303" s="329">
        <v>1774</v>
      </c>
      <c r="L303" s="325" t="s">
        <v>2523</v>
      </c>
      <c r="M303" s="326" t="s">
        <v>2076</v>
      </c>
      <c r="N303" s="326"/>
      <c r="O303" s="330">
        <v>388784.51</v>
      </c>
      <c r="P303" s="330">
        <v>2906.31</v>
      </c>
      <c r="Q303" s="331">
        <v>1774</v>
      </c>
      <c r="R303" s="330">
        <v>1</v>
      </c>
      <c r="S303" s="330">
        <v>1</v>
      </c>
      <c r="T303" s="326" t="s">
        <v>170</v>
      </c>
      <c r="U303" s="326" t="s">
        <v>2040</v>
      </c>
      <c r="V303" s="332">
        <v>17893</v>
      </c>
      <c r="W303" s="333">
        <v>17740</v>
      </c>
    </row>
    <row r="304" spans="1:23" ht="45" customHeight="1" x14ac:dyDescent="0.4">
      <c r="A304" s="323">
        <v>177521</v>
      </c>
      <c r="B304" s="324" t="s">
        <v>4359</v>
      </c>
      <c r="C304" s="325" t="s">
        <v>2524</v>
      </c>
      <c r="D304" s="326" t="s">
        <v>2045</v>
      </c>
      <c r="E304" s="327" t="s">
        <v>898</v>
      </c>
      <c r="F304" s="327" t="s">
        <v>3832</v>
      </c>
      <c r="G304" s="327" t="s">
        <v>899</v>
      </c>
      <c r="H304" s="325" t="s">
        <v>228</v>
      </c>
      <c r="I304" s="325" t="s">
        <v>228</v>
      </c>
      <c r="J304" s="328">
        <v>17</v>
      </c>
      <c r="K304" s="329">
        <v>1775</v>
      </c>
      <c r="L304" s="325" t="s">
        <v>2525</v>
      </c>
      <c r="M304" s="326" t="s">
        <v>2076</v>
      </c>
      <c r="N304" s="326"/>
      <c r="O304" s="330">
        <v>4801581.5</v>
      </c>
      <c r="P304" s="330">
        <v>9722.2000000000007</v>
      </c>
      <c r="Q304" s="331">
        <v>1775</v>
      </c>
      <c r="R304" s="330">
        <v>1</v>
      </c>
      <c r="S304" s="330">
        <v>1</v>
      </c>
      <c r="T304" s="326" t="s">
        <v>170</v>
      </c>
      <c r="U304" s="326" t="s">
        <v>2040</v>
      </c>
      <c r="V304" s="332">
        <v>17894</v>
      </c>
      <c r="W304" s="333">
        <v>17750</v>
      </c>
    </row>
    <row r="305" spans="1:23" ht="45" customHeight="1" x14ac:dyDescent="0.4">
      <c r="A305" s="323">
        <v>177621</v>
      </c>
      <c r="B305" s="324" t="s">
        <v>4360</v>
      </c>
      <c r="C305" s="325" t="s">
        <v>2526</v>
      </c>
      <c r="D305" s="326" t="s">
        <v>2045</v>
      </c>
      <c r="E305" s="327" t="s">
        <v>900</v>
      </c>
      <c r="F305" s="327" t="s">
        <v>4361</v>
      </c>
      <c r="G305" s="327" t="s">
        <v>901</v>
      </c>
      <c r="H305" s="325" t="s">
        <v>228</v>
      </c>
      <c r="I305" s="325" t="s">
        <v>228</v>
      </c>
      <c r="J305" s="328">
        <v>17</v>
      </c>
      <c r="K305" s="329">
        <v>1776</v>
      </c>
      <c r="L305" s="325" t="s">
        <v>2527</v>
      </c>
      <c r="M305" s="326" t="s">
        <v>2076</v>
      </c>
      <c r="N305" s="326"/>
      <c r="O305" s="330">
        <v>1852543.79</v>
      </c>
      <c r="P305" s="330">
        <v>16784.650000000001</v>
      </c>
      <c r="Q305" s="331">
        <v>1776</v>
      </c>
      <c r="R305" s="330">
        <v>1</v>
      </c>
      <c r="S305" s="330">
        <v>1</v>
      </c>
      <c r="T305" s="326" t="s">
        <v>170</v>
      </c>
      <c r="U305" s="326" t="s">
        <v>2040</v>
      </c>
      <c r="V305" s="332">
        <v>17878</v>
      </c>
      <c r="W305" s="333">
        <v>17760</v>
      </c>
    </row>
    <row r="306" spans="1:23" ht="45" customHeight="1" x14ac:dyDescent="0.4">
      <c r="A306" s="323">
        <v>177622</v>
      </c>
      <c r="B306" s="324" t="s">
        <v>4362</v>
      </c>
      <c r="C306" s="325" t="s">
        <v>2528</v>
      </c>
      <c r="D306" s="326" t="s">
        <v>2045</v>
      </c>
      <c r="E306" s="327" t="s">
        <v>902</v>
      </c>
      <c r="F306" s="327" t="s">
        <v>4363</v>
      </c>
      <c r="G306" s="327" t="s">
        <v>903</v>
      </c>
      <c r="H306" s="325" t="s">
        <v>228</v>
      </c>
      <c r="I306" s="325" t="s">
        <v>228</v>
      </c>
      <c r="J306" s="328">
        <v>17</v>
      </c>
      <c r="K306" s="329">
        <v>1776</v>
      </c>
      <c r="L306" s="325" t="s">
        <v>2527</v>
      </c>
      <c r="M306" s="326" t="s">
        <v>2076</v>
      </c>
      <c r="N306" s="326"/>
      <c r="O306" s="330">
        <v>1852543.79</v>
      </c>
      <c r="P306" s="330">
        <v>16784.650000000001</v>
      </c>
      <c r="Q306" s="331">
        <v>1776</v>
      </c>
      <c r="R306" s="330">
        <v>1</v>
      </c>
      <c r="S306" s="330">
        <v>1</v>
      </c>
      <c r="T306" s="326" t="s">
        <v>170</v>
      </c>
      <c r="U306" s="326" t="s">
        <v>2040</v>
      </c>
      <c r="V306" s="332">
        <v>17879</v>
      </c>
      <c r="W306" s="333">
        <v>17760</v>
      </c>
    </row>
    <row r="307" spans="1:23" ht="45" customHeight="1" x14ac:dyDescent="0.4">
      <c r="A307" s="323">
        <v>177710</v>
      </c>
      <c r="B307" s="324" t="s">
        <v>4364</v>
      </c>
      <c r="C307" s="325" t="s">
        <v>2529</v>
      </c>
      <c r="D307" s="326" t="s">
        <v>2045</v>
      </c>
      <c r="E307" s="327" t="s">
        <v>4365</v>
      </c>
      <c r="F307" s="327"/>
      <c r="G307" s="327" t="s">
        <v>904</v>
      </c>
      <c r="H307" s="325" t="s">
        <v>228</v>
      </c>
      <c r="I307" s="325" t="s">
        <v>228</v>
      </c>
      <c r="J307" s="328">
        <v>17</v>
      </c>
      <c r="K307" s="329">
        <v>1777</v>
      </c>
      <c r="L307" s="325" t="s">
        <v>2530</v>
      </c>
      <c r="M307" s="326" t="s">
        <v>2483</v>
      </c>
      <c r="N307" s="326"/>
      <c r="O307" s="330">
        <v>903279.95</v>
      </c>
      <c r="P307" s="330">
        <v>15345.84</v>
      </c>
      <c r="Q307" s="331">
        <v>1777</v>
      </c>
      <c r="R307" s="330">
        <v>10</v>
      </c>
      <c r="S307" s="330">
        <v>5</v>
      </c>
      <c r="T307" s="326" t="s">
        <v>170</v>
      </c>
      <c r="U307" s="326" t="s">
        <v>2040</v>
      </c>
      <c r="V307" s="332">
        <v>17771</v>
      </c>
      <c r="W307" s="333"/>
    </row>
    <row r="308" spans="1:23" ht="45" customHeight="1" x14ac:dyDescent="0.4">
      <c r="A308" s="323">
        <v>178121</v>
      </c>
      <c r="B308" s="324" t="s">
        <v>4366</v>
      </c>
      <c r="C308" s="325" t="s">
        <v>2531</v>
      </c>
      <c r="D308" s="326" t="s">
        <v>2045</v>
      </c>
      <c r="E308" s="327" t="s">
        <v>4367</v>
      </c>
      <c r="F308" s="327"/>
      <c r="G308" s="327" t="s">
        <v>905</v>
      </c>
      <c r="H308" s="325" t="s">
        <v>228</v>
      </c>
      <c r="I308" s="325" t="s">
        <v>228</v>
      </c>
      <c r="J308" s="328">
        <v>17</v>
      </c>
      <c r="K308" s="329">
        <v>1781</v>
      </c>
      <c r="L308" s="325" t="s">
        <v>2532</v>
      </c>
      <c r="M308" s="326" t="s">
        <v>2483</v>
      </c>
      <c r="N308" s="326"/>
      <c r="O308" s="330">
        <v>62695.89</v>
      </c>
      <c r="P308" s="330">
        <v>187.25</v>
      </c>
      <c r="Q308" s="331">
        <v>1781</v>
      </c>
      <c r="R308" s="330">
        <v>12</v>
      </c>
      <c r="S308" s="330">
        <v>4</v>
      </c>
      <c r="T308" s="326" t="s">
        <v>170</v>
      </c>
      <c r="U308" s="326" t="s">
        <v>2040</v>
      </c>
      <c r="V308" s="332">
        <v>17883</v>
      </c>
      <c r="W308" s="333">
        <v>17810</v>
      </c>
    </row>
    <row r="309" spans="1:23" ht="45" customHeight="1" x14ac:dyDescent="0.4">
      <c r="A309" s="323">
        <v>178299</v>
      </c>
      <c r="B309" s="324" t="s">
        <v>2534</v>
      </c>
      <c r="C309" s="325" t="s">
        <v>2533</v>
      </c>
      <c r="D309" s="326" t="s">
        <v>2045</v>
      </c>
      <c r="E309" s="327" t="s">
        <v>906</v>
      </c>
      <c r="F309" s="327"/>
      <c r="G309" s="327" t="s">
        <v>907</v>
      </c>
      <c r="H309" s="325" t="s">
        <v>228</v>
      </c>
      <c r="I309" s="325" t="s">
        <v>228</v>
      </c>
      <c r="J309" s="328">
        <v>17</v>
      </c>
      <c r="K309" s="329">
        <v>1782</v>
      </c>
      <c r="L309" s="325" t="s">
        <v>2534</v>
      </c>
      <c r="M309" s="326" t="s">
        <v>2483</v>
      </c>
      <c r="N309" s="326"/>
      <c r="O309" s="330">
        <v>578997.07999999996</v>
      </c>
      <c r="P309" s="330">
        <v>1709.13</v>
      </c>
      <c r="Q309" s="331">
        <v>1782</v>
      </c>
      <c r="R309" s="330">
        <v>5</v>
      </c>
      <c r="S309" s="330">
        <v>1</v>
      </c>
      <c r="T309" s="326" t="s">
        <v>170</v>
      </c>
      <c r="U309" s="326" t="s">
        <v>2040</v>
      </c>
      <c r="V309" s="332" t="s">
        <v>2535</v>
      </c>
      <c r="W309" s="333" t="s">
        <v>2536</v>
      </c>
    </row>
    <row r="310" spans="1:23" ht="45" customHeight="1" x14ac:dyDescent="0.4">
      <c r="A310" s="323">
        <v>178322</v>
      </c>
      <c r="B310" s="324" t="s">
        <v>4368</v>
      </c>
      <c r="C310" s="325" t="s">
        <v>2537</v>
      </c>
      <c r="D310" s="326" t="s">
        <v>2045</v>
      </c>
      <c r="E310" s="327" t="s">
        <v>908</v>
      </c>
      <c r="F310" s="327"/>
      <c r="G310" s="327" t="s">
        <v>909</v>
      </c>
      <c r="H310" s="325" t="s">
        <v>228</v>
      </c>
      <c r="I310" s="325" t="s">
        <v>228</v>
      </c>
      <c r="J310" s="328">
        <v>17</v>
      </c>
      <c r="K310" s="329">
        <v>1783</v>
      </c>
      <c r="L310" s="325" t="s">
        <v>3833</v>
      </c>
      <c r="M310" s="326" t="s">
        <v>2076</v>
      </c>
      <c r="N310" s="326"/>
      <c r="O310" s="330">
        <v>152063.12</v>
      </c>
      <c r="P310" s="330">
        <v>4931.13</v>
      </c>
      <c r="Q310" s="331">
        <v>1783</v>
      </c>
      <c r="R310" s="330">
        <v>16</v>
      </c>
      <c r="S310" s="330">
        <v>3</v>
      </c>
      <c r="T310" s="326" t="s">
        <v>170</v>
      </c>
      <c r="U310" s="326" t="s">
        <v>2040</v>
      </c>
      <c r="V310" s="332">
        <v>17885</v>
      </c>
      <c r="W310" s="333">
        <v>17830</v>
      </c>
    </row>
    <row r="311" spans="1:23" ht="45" customHeight="1" x14ac:dyDescent="0.4">
      <c r="A311" s="323">
        <v>178960</v>
      </c>
      <c r="B311" s="324" t="s">
        <v>4369</v>
      </c>
      <c r="C311" s="325" t="s">
        <v>2538</v>
      </c>
      <c r="D311" s="326" t="s">
        <v>2045</v>
      </c>
      <c r="E311" s="327" t="s">
        <v>4370</v>
      </c>
      <c r="F311" s="327"/>
      <c r="G311" s="327" t="s">
        <v>383</v>
      </c>
      <c r="H311" s="325" t="e">
        <v>#N/A</v>
      </c>
      <c r="I311" s="325" t="e">
        <v>#N/A</v>
      </c>
      <c r="J311" s="328">
        <v>17</v>
      </c>
      <c r="K311" s="329">
        <v>1775</v>
      </c>
      <c r="L311" s="325" t="s">
        <v>2525</v>
      </c>
      <c r="M311" s="326" t="s">
        <v>2076</v>
      </c>
      <c r="N311" s="326"/>
      <c r="O311" s="330">
        <v>4801581.5</v>
      </c>
      <c r="P311" s="330">
        <v>9722.2000000000007</v>
      </c>
      <c r="Q311" s="331">
        <v>1775</v>
      </c>
      <c r="R311" s="330">
        <v>1</v>
      </c>
      <c r="S311" s="330">
        <v>1</v>
      </c>
      <c r="T311" s="326" t="s">
        <v>170</v>
      </c>
      <c r="U311" s="326" t="s">
        <v>2040</v>
      </c>
      <c r="V311" s="332">
        <v>17897</v>
      </c>
      <c r="W311" s="333" t="s">
        <v>3834</v>
      </c>
    </row>
    <row r="312" spans="1:23" ht="45" customHeight="1" x14ac:dyDescent="0.4">
      <c r="A312" s="323">
        <v>179001</v>
      </c>
      <c r="B312" s="324" t="s">
        <v>4371</v>
      </c>
      <c r="C312" s="325" t="s">
        <v>2539</v>
      </c>
      <c r="D312" s="326" t="s">
        <v>2045</v>
      </c>
      <c r="E312" s="327" t="s">
        <v>910</v>
      </c>
      <c r="F312" s="327"/>
      <c r="G312" s="327" t="s">
        <v>911</v>
      </c>
      <c r="H312" s="325" t="s">
        <v>228</v>
      </c>
      <c r="I312" s="325" t="s">
        <v>228</v>
      </c>
      <c r="J312" s="328">
        <v>17</v>
      </c>
      <c r="K312" s="329">
        <v>1736</v>
      </c>
      <c r="L312" s="325" t="s">
        <v>3835</v>
      </c>
      <c r="M312" s="326" t="s">
        <v>2076</v>
      </c>
      <c r="N312" s="326"/>
      <c r="O312" s="330">
        <v>158821.24</v>
      </c>
      <c r="P312" s="330">
        <v>5646.82</v>
      </c>
      <c r="Q312" s="331">
        <v>1736</v>
      </c>
      <c r="R312" s="330">
        <v>16</v>
      </c>
      <c r="S312" s="330">
        <v>3</v>
      </c>
      <c r="T312" s="326" t="s">
        <v>170</v>
      </c>
      <c r="U312" s="326" t="s">
        <v>2040</v>
      </c>
      <c r="V312" s="332" t="s">
        <v>2541</v>
      </c>
      <c r="W312" s="333"/>
    </row>
    <row r="313" spans="1:23" ht="45" customHeight="1" x14ac:dyDescent="0.4">
      <c r="A313" s="323">
        <v>179019</v>
      </c>
      <c r="B313" s="324" t="s">
        <v>4372</v>
      </c>
      <c r="C313" s="325" t="s">
        <v>2543</v>
      </c>
      <c r="D313" s="326" t="s">
        <v>2045</v>
      </c>
      <c r="E313" s="327" t="s">
        <v>912</v>
      </c>
      <c r="F313" s="327"/>
      <c r="G313" s="327" t="s">
        <v>913</v>
      </c>
      <c r="H313" s="325" t="s">
        <v>228</v>
      </c>
      <c r="I313" s="325" t="s">
        <v>228</v>
      </c>
      <c r="J313" s="328">
        <v>17</v>
      </c>
      <c r="K313" s="329">
        <v>1736</v>
      </c>
      <c r="L313" s="325" t="s">
        <v>3835</v>
      </c>
      <c r="M313" s="326" t="s">
        <v>2076</v>
      </c>
      <c r="N313" s="326"/>
      <c r="O313" s="330">
        <v>158821.24</v>
      </c>
      <c r="P313" s="330">
        <v>5646.82</v>
      </c>
      <c r="Q313" s="331">
        <v>1736</v>
      </c>
      <c r="R313" s="330">
        <v>16</v>
      </c>
      <c r="S313" s="330">
        <v>3</v>
      </c>
      <c r="T313" s="326" t="s">
        <v>170</v>
      </c>
      <c r="U313" s="326" t="s">
        <v>2040</v>
      </c>
      <c r="V313" s="332">
        <v>17816</v>
      </c>
      <c r="W313" s="333"/>
    </row>
    <row r="314" spans="1:23" ht="45" customHeight="1" x14ac:dyDescent="0.4">
      <c r="A314" s="323">
        <v>179021</v>
      </c>
      <c r="B314" s="324" t="s">
        <v>4373</v>
      </c>
      <c r="C314" s="325" t="s">
        <v>2544</v>
      </c>
      <c r="D314" s="326" t="s">
        <v>2045</v>
      </c>
      <c r="E314" s="327" t="s">
        <v>914</v>
      </c>
      <c r="F314" s="327"/>
      <c r="G314" s="327" t="s">
        <v>915</v>
      </c>
      <c r="H314" s="325" t="s">
        <v>228</v>
      </c>
      <c r="I314" s="325" t="s">
        <v>228</v>
      </c>
      <c r="J314" s="328">
        <v>17</v>
      </c>
      <c r="K314" s="329">
        <v>1736</v>
      </c>
      <c r="L314" s="325" t="s">
        <v>3835</v>
      </c>
      <c r="M314" s="326" t="s">
        <v>2076</v>
      </c>
      <c r="N314" s="326"/>
      <c r="O314" s="330">
        <v>158821.24</v>
      </c>
      <c r="P314" s="330">
        <v>5646.82</v>
      </c>
      <c r="Q314" s="331">
        <v>1736</v>
      </c>
      <c r="R314" s="330">
        <v>16</v>
      </c>
      <c r="S314" s="330">
        <v>3</v>
      </c>
      <c r="T314" s="326" t="s">
        <v>170</v>
      </c>
      <c r="U314" s="326" t="s">
        <v>2040</v>
      </c>
      <c r="V314" s="332">
        <v>17952</v>
      </c>
      <c r="W314" s="333"/>
    </row>
    <row r="315" spans="1:23" ht="45" customHeight="1" x14ac:dyDescent="0.4">
      <c r="A315" s="323">
        <v>179022</v>
      </c>
      <c r="B315" s="324" t="s">
        <v>4374</v>
      </c>
      <c r="C315" s="325" t="s">
        <v>2545</v>
      </c>
      <c r="D315" s="326" t="s">
        <v>2045</v>
      </c>
      <c r="E315" s="327" t="s">
        <v>916</v>
      </c>
      <c r="F315" s="327"/>
      <c r="G315" s="327" t="s">
        <v>917</v>
      </c>
      <c r="H315" s="325" t="s">
        <v>228</v>
      </c>
      <c r="I315" s="325" t="s">
        <v>228</v>
      </c>
      <c r="J315" s="328">
        <v>17</v>
      </c>
      <c r="K315" s="329">
        <v>1790</v>
      </c>
      <c r="L315" s="325" t="s">
        <v>2540</v>
      </c>
      <c r="M315" s="326" t="s">
        <v>2076</v>
      </c>
      <c r="N315" s="326"/>
      <c r="O315" s="330">
        <v>206737.63</v>
      </c>
      <c r="P315" s="330">
        <v>1091.23</v>
      </c>
      <c r="Q315" s="331">
        <v>1790</v>
      </c>
      <c r="R315" s="330">
        <v>250</v>
      </c>
      <c r="S315" s="330">
        <v>1</v>
      </c>
      <c r="T315" s="326" t="s">
        <v>170</v>
      </c>
      <c r="U315" s="326" t="s">
        <v>2040</v>
      </c>
      <c r="V315" s="332">
        <v>17908</v>
      </c>
      <c r="W315" s="333"/>
    </row>
    <row r="316" spans="1:23" ht="45" customHeight="1" x14ac:dyDescent="0.4">
      <c r="A316" s="323">
        <v>179023</v>
      </c>
      <c r="B316" s="324" t="s">
        <v>4375</v>
      </c>
      <c r="C316" s="325" t="s">
        <v>2546</v>
      </c>
      <c r="D316" s="326" t="s">
        <v>2045</v>
      </c>
      <c r="E316" s="327" t="s">
        <v>918</v>
      </c>
      <c r="F316" s="327" t="s">
        <v>2547</v>
      </c>
      <c r="G316" s="327" t="s">
        <v>919</v>
      </c>
      <c r="H316" s="325" t="s">
        <v>228</v>
      </c>
      <c r="I316" s="325" t="s">
        <v>228</v>
      </c>
      <c r="J316" s="328">
        <v>17</v>
      </c>
      <c r="K316" s="329">
        <v>1738</v>
      </c>
      <c r="L316" s="325" t="s">
        <v>4376</v>
      </c>
      <c r="M316" s="326" t="s">
        <v>2076</v>
      </c>
      <c r="N316" s="326"/>
      <c r="O316" s="330">
        <v>206737.63</v>
      </c>
      <c r="P316" s="330">
        <v>1091.23</v>
      </c>
      <c r="Q316" s="331">
        <v>1738</v>
      </c>
      <c r="R316" s="330">
        <v>250</v>
      </c>
      <c r="S316" s="330">
        <v>1</v>
      </c>
      <c r="T316" s="326" t="s">
        <v>170</v>
      </c>
      <c r="U316" s="326" t="s">
        <v>2040</v>
      </c>
      <c r="V316" s="332">
        <v>17976</v>
      </c>
      <c r="W316" s="333"/>
    </row>
    <row r="317" spans="1:23" ht="45" customHeight="1" x14ac:dyDescent="0.4">
      <c r="A317" s="323">
        <v>179024</v>
      </c>
      <c r="B317" s="324" t="s">
        <v>4377</v>
      </c>
      <c r="C317" s="325" t="s">
        <v>2548</v>
      </c>
      <c r="D317" s="326" t="s">
        <v>2045</v>
      </c>
      <c r="E317" s="327" t="s">
        <v>920</v>
      </c>
      <c r="F317" s="327"/>
      <c r="G317" s="327" t="s">
        <v>921</v>
      </c>
      <c r="H317" s="325" t="s">
        <v>228</v>
      </c>
      <c r="I317" s="325" t="s">
        <v>228</v>
      </c>
      <c r="J317" s="328">
        <v>17</v>
      </c>
      <c r="K317" s="329">
        <v>1736</v>
      </c>
      <c r="L317" s="325" t="s">
        <v>3835</v>
      </c>
      <c r="M317" s="326" t="s">
        <v>2076</v>
      </c>
      <c r="N317" s="326"/>
      <c r="O317" s="330">
        <v>158821.24</v>
      </c>
      <c r="P317" s="330">
        <v>5646.82</v>
      </c>
      <c r="Q317" s="331">
        <v>1736</v>
      </c>
      <c r="R317" s="330">
        <v>16</v>
      </c>
      <c r="S317" s="330">
        <v>3</v>
      </c>
      <c r="T317" s="326" t="s">
        <v>170</v>
      </c>
      <c r="U317" s="326" t="s">
        <v>2040</v>
      </c>
      <c r="V317" s="332">
        <v>17949</v>
      </c>
      <c r="W317" s="333"/>
    </row>
    <row r="318" spans="1:23" ht="45" customHeight="1" x14ac:dyDescent="0.4">
      <c r="A318" s="323">
        <v>179025</v>
      </c>
      <c r="B318" s="324" t="s">
        <v>4378</v>
      </c>
      <c r="C318" s="325" t="s">
        <v>2549</v>
      </c>
      <c r="D318" s="326" t="s">
        <v>2045</v>
      </c>
      <c r="E318" s="327" t="s">
        <v>922</v>
      </c>
      <c r="F318" s="327" t="s">
        <v>3836</v>
      </c>
      <c r="G318" s="327" t="s">
        <v>923</v>
      </c>
      <c r="H318" s="325" t="s">
        <v>228</v>
      </c>
      <c r="I318" s="325" t="s">
        <v>228</v>
      </c>
      <c r="J318" s="328">
        <v>17</v>
      </c>
      <c r="K318" s="329">
        <v>1737</v>
      </c>
      <c r="L318" s="325" t="s">
        <v>4379</v>
      </c>
      <c r="M318" s="326" t="s">
        <v>2076</v>
      </c>
      <c r="N318" s="326"/>
      <c r="O318" s="330">
        <v>206737.63</v>
      </c>
      <c r="P318" s="330">
        <v>1091.23</v>
      </c>
      <c r="Q318" s="331">
        <v>1737</v>
      </c>
      <c r="R318" s="330">
        <v>250</v>
      </c>
      <c r="S318" s="330">
        <v>1</v>
      </c>
      <c r="T318" s="326" t="s">
        <v>170</v>
      </c>
      <c r="U318" s="326" t="s">
        <v>2040</v>
      </c>
      <c r="V318" s="332">
        <v>17954</v>
      </c>
      <c r="W318" s="333"/>
    </row>
    <row r="319" spans="1:23" ht="45" customHeight="1" x14ac:dyDescent="0.4">
      <c r="A319" s="323">
        <v>179026</v>
      </c>
      <c r="B319" s="324" t="s">
        <v>4380</v>
      </c>
      <c r="C319" s="325" t="s">
        <v>924</v>
      </c>
      <c r="D319" s="326" t="s">
        <v>2045</v>
      </c>
      <c r="E319" s="327" t="s">
        <v>925</v>
      </c>
      <c r="F319" s="327" t="s">
        <v>4381</v>
      </c>
      <c r="G319" s="327" t="s">
        <v>926</v>
      </c>
      <c r="H319" s="325" t="s">
        <v>228</v>
      </c>
      <c r="I319" s="325" t="s">
        <v>228</v>
      </c>
      <c r="J319" s="328">
        <v>17</v>
      </c>
      <c r="K319" s="329">
        <v>1736</v>
      </c>
      <c r="L319" s="325" t="s">
        <v>3835</v>
      </c>
      <c r="M319" s="326" t="s">
        <v>2076</v>
      </c>
      <c r="N319" s="326"/>
      <c r="O319" s="330">
        <v>158821.24</v>
      </c>
      <c r="P319" s="330">
        <v>5646.82</v>
      </c>
      <c r="Q319" s="331">
        <v>1736</v>
      </c>
      <c r="R319" s="330">
        <v>16</v>
      </c>
      <c r="S319" s="330">
        <v>3</v>
      </c>
      <c r="T319" s="326" t="s">
        <v>170</v>
      </c>
      <c r="U319" s="326" t="s">
        <v>2040</v>
      </c>
      <c r="V319" s="332">
        <v>17965</v>
      </c>
      <c r="W319" s="333"/>
    </row>
    <row r="320" spans="1:23" ht="45" customHeight="1" x14ac:dyDescent="0.4">
      <c r="A320" s="323">
        <v>179027</v>
      </c>
      <c r="B320" s="324" t="s">
        <v>4382</v>
      </c>
      <c r="C320" s="325" t="s">
        <v>2550</v>
      </c>
      <c r="D320" s="326" t="s">
        <v>2045</v>
      </c>
      <c r="E320" s="327" t="s">
        <v>927</v>
      </c>
      <c r="F320" s="327"/>
      <c r="G320" s="327" t="s">
        <v>928</v>
      </c>
      <c r="H320" s="325" t="s">
        <v>228</v>
      </c>
      <c r="I320" s="325" t="s">
        <v>228</v>
      </c>
      <c r="J320" s="328">
        <v>17</v>
      </c>
      <c r="K320" s="329">
        <v>1734</v>
      </c>
      <c r="L320" s="325" t="s">
        <v>3823</v>
      </c>
      <c r="M320" s="326" t="s">
        <v>2039</v>
      </c>
      <c r="N320" s="326"/>
      <c r="O320" s="330">
        <v>25899.35</v>
      </c>
      <c r="P320" s="330">
        <v>67.31</v>
      </c>
      <c r="Q320" s="331">
        <v>1734</v>
      </c>
      <c r="R320" s="330">
        <v>275</v>
      </c>
      <c r="S320" s="330">
        <v>35</v>
      </c>
      <c r="T320" s="326" t="s">
        <v>170</v>
      </c>
      <c r="U320" s="326" t="s">
        <v>2040</v>
      </c>
      <c r="V320" s="332">
        <v>17966</v>
      </c>
      <c r="W320" s="333"/>
    </row>
    <row r="321" spans="1:23" ht="45" customHeight="1" x14ac:dyDescent="0.4">
      <c r="A321" s="323">
        <v>179028</v>
      </c>
      <c r="B321" s="324" t="s">
        <v>4383</v>
      </c>
      <c r="C321" s="325" t="s">
        <v>2551</v>
      </c>
      <c r="D321" s="326" t="s">
        <v>2045</v>
      </c>
      <c r="E321" s="327" t="s">
        <v>929</v>
      </c>
      <c r="F321" s="327"/>
      <c r="G321" s="327" t="s">
        <v>930</v>
      </c>
      <c r="H321" s="325" t="s">
        <v>228</v>
      </c>
      <c r="I321" s="325" t="s">
        <v>228</v>
      </c>
      <c r="J321" s="328">
        <v>17</v>
      </c>
      <c r="K321" s="329">
        <v>1738</v>
      </c>
      <c r="L321" s="325" t="s">
        <v>4376</v>
      </c>
      <c r="M321" s="326" t="s">
        <v>2076</v>
      </c>
      <c r="N321" s="326"/>
      <c r="O321" s="330">
        <v>206737.63</v>
      </c>
      <c r="P321" s="330">
        <v>1091.23</v>
      </c>
      <c r="Q321" s="331">
        <v>1738</v>
      </c>
      <c r="R321" s="330">
        <v>250</v>
      </c>
      <c r="S321" s="330">
        <v>1</v>
      </c>
      <c r="T321" s="326" t="s">
        <v>170</v>
      </c>
      <c r="U321" s="326" t="s">
        <v>2040</v>
      </c>
      <c r="V321" s="332">
        <v>17720</v>
      </c>
      <c r="W321" s="333">
        <v>17420</v>
      </c>
    </row>
    <row r="322" spans="1:23" ht="45" customHeight="1" x14ac:dyDescent="0.4">
      <c r="A322" s="323">
        <v>179029</v>
      </c>
      <c r="B322" s="324" t="s">
        <v>4384</v>
      </c>
      <c r="C322" s="325" t="s">
        <v>2552</v>
      </c>
      <c r="D322" s="326" t="s">
        <v>2045</v>
      </c>
      <c r="E322" s="327" t="s">
        <v>931</v>
      </c>
      <c r="F322" s="327"/>
      <c r="G322" s="327" t="s">
        <v>932</v>
      </c>
      <c r="H322" s="325" t="s">
        <v>228</v>
      </c>
      <c r="I322" s="325" t="s">
        <v>228</v>
      </c>
      <c r="J322" s="328">
        <v>17</v>
      </c>
      <c r="K322" s="329">
        <v>1790</v>
      </c>
      <c r="L322" s="325" t="s">
        <v>2540</v>
      </c>
      <c r="M322" s="326" t="s">
        <v>2076</v>
      </c>
      <c r="N322" s="326"/>
      <c r="O322" s="330">
        <v>206737.63</v>
      </c>
      <c r="P322" s="330">
        <v>1091.23</v>
      </c>
      <c r="Q322" s="331">
        <v>1790</v>
      </c>
      <c r="R322" s="330">
        <v>250</v>
      </c>
      <c r="S322" s="330">
        <v>1</v>
      </c>
      <c r="T322" s="326" t="s">
        <v>170</v>
      </c>
      <c r="U322" s="326" t="s">
        <v>2040</v>
      </c>
      <c r="V322" s="332">
        <v>17988</v>
      </c>
      <c r="W322" s="333"/>
    </row>
    <row r="323" spans="1:23" ht="45" customHeight="1" x14ac:dyDescent="0.4">
      <c r="A323" s="323">
        <v>179050</v>
      </c>
      <c r="B323" s="324" t="s">
        <v>4385</v>
      </c>
      <c r="C323" s="325" t="s">
        <v>933</v>
      </c>
      <c r="D323" s="326" t="s">
        <v>2045</v>
      </c>
      <c r="E323" s="327" t="s">
        <v>934</v>
      </c>
      <c r="F323" s="327"/>
      <c r="G323" s="327" t="s">
        <v>935</v>
      </c>
      <c r="H323" s="325" t="s">
        <v>228</v>
      </c>
      <c r="I323" s="325" t="s">
        <v>228</v>
      </c>
      <c r="J323" s="328">
        <v>17</v>
      </c>
      <c r="K323" s="329">
        <v>1725</v>
      </c>
      <c r="L323" s="325" t="s">
        <v>2553</v>
      </c>
      <c r="M323" s="326" t="s">
        <v>2076</v>
      </c>
      <c r="N323" s="326"/>
      <c r="O323" s="330">
        <v>1244976.97</v>
      </c>
      <c r="P323" s="330">
        <v>21438.28</v>
      </c>
      <c r="Q323" s="331">
        <v>1725</v>
      </c>
      <c r="R323" s="330">
        <v>1</v>
      </c>
      <c r="S323" s="330">
        <v>1</v>
      </c>
      <c r="T323" s="326" t="s">
        <v>170</v>
      </c>
      <c r="U323" s="326" t="s">
        <v>2040</v>
      </c>
      <c r="V323" s="332">
        <v>17905</v>
      </c>
      <c r="W323" s="333">
        <v>17955</v>
      </c>
    </row>
    <row r="324" spans="1:23" ht="45" customHeight="1" x14ac:dyDescent="0.4">
      <c r="A324" s="323">
        <v>179219</v>
      </c>
      <c r="B324" s="324" t="s">
        <v>4386</v>
      </c>
      <c r="C324" s="325" t="s">
        <v>2554</v>
      </c>
      <c r="D324" s="326" t="s">
        <v>2045</v>
      </c>
      <c r="E324" s="327" t="s">
        <v>936</v>
      </c>
      <c r="F324" s="327"/>
      <c r="G324" s="327" t="s">
        <v>937</v>
      </c>
      <c r="H324" s="325" t="s">
        <v>2555</v>
      </c>
      <c r="I324" s="325" t="s">
        <v>228</v>
      </c>
      <c r="J324" s="328">
        <v>17</v>
      </c>
      <c r="K324" s="329">
        <v>1734</v>
      </c>
      <c r="L324" s="325" t="s">
        <v>3823</v>
      </c>
      <c r="M324" s="326" t="s">
        <v>2039</v>
      </c>
      <c r="N324" s="326"/>
      <c r="O324" s="330">
        <v>25899.35</v>
      </c>
      <c r="P324" s="330">
        <v>67.31</v>
      </c>
      <c r="Q324" s="331">
        <v>1734</v>
      </c>
      <c r="R324" s="330">
        <v>275</v>
      </c>
      <c r="S324" s="330">
        <v>35</v>
      </c>
      <c r="T324" s="326" t="s">
        <v>170</v>
      </c>
      <c r="U324" s="326" t="s">
        <v>2040</v>
      </c>
      <c r="V324" s="332">
        <v>17963</v>
      </c>
      <c r="W324" s="333"/>
    </row>
    <row r="325" spans="1:23" ht="45" customHeight="1" x14ac:dyDescent="0.4">
      <c r="A325" s="323">
        <v>179221</v>
      </c>
      <c r="B325" s="324" t="s">
        <v>4387</v>
      </c>
      <c r="C325" s="325" t="s">
        <v>2556</v>
      </c>
      <c r="D325" s="326" t="s">
        <v>2045</v>
      </c>
      <c r="E325" s="327" t="s">
        <v>938</v>
      </c>
      <c r="F325" s="327"/>
      <c r="G325" s="327" t="s">
        <v>939</v>
      </c>
      <c r="H325" s="325" t="s">
        <v>228</v>
      </c>
      <c r="I325" s="325" t="s">
        <v>228</v>
      </c>
      <c r="J325" s="328">
        <v>17</v>
      </c>
      <c r="K325" s="329">
        <v>1792</v>
      </c>
      <c r="L325" s="325" t="s">
        <v>2557</v>
      </c>
      <c r="M325" s="326" t="s">
        <v>2076</v>
      </c>
      <c r="N325" s="326"/>
      <c r="O325" s="330">
        <v>3738593.8</v>
      </c>
      <c r="P325" s="330">
        <v>42894.78</v>
      </c>
      <c r="Q325" s="331">
        <v>1792</v>
      </c>
      <c r="R325" s="330">
        <v>1</v>
      </c>
      <c r="S325" s="330">
        <v>1</v>
      </c>
      <c r="T325" s="326" t="s">
        <v>170</v>
      </c>
      <c r="U325" s="326" t="s">
        <v>2040</v>
      </c>
      <c r="V325" s="332">
        <v>17911</v>
      </c>
      <c r="W325" s="333">
        <v>17926</v>
      </c>
    </row>
    <row r="326" spans="1:23" ht="45" customHeight="1" x14ac:dyDescent="0.4">
      <c r="A326" s="323">
        <v>179371</v>
      </c>
      <c r="B326" s="324" t="s">
        <v>4388</v>
      </c>
      <c r="C326" s="325" t="s">
        <v>2558</v>
      </c>
      <c r="D326" s="326" t="s">
        <v>2045</v>
      </c>
      <c r="E326" s="327" t="s">
        <v>940</v>
      </c>
      <c r="F326" s="327" t="s">
        <v>4389</v>
      </c>
      <c r="G326" s="327" t="s">
        <v>941</v>
      </c>
      <c r="H326" s="325" t="s">
        <v>2559</v>
      </c>
      <c r="I326" s="325" t="s">
        <v>228</v>
      </c>
      <c r="J326" s="328">
        <v>17</v>
      </c>
      <c r="K326" s="329">
        <v>1736</v>
      </c>
      <c r="L326" s="325" t="s">
        <v>3835</v>
      </c>
      <c r="M326" s="326" t="s">
        <v>2076</v>
      </c>
      <c r="N326" s="326"/>
      <c r="O326" s="330">
        <v>158821.24</v>
      </c>
      <c r="P326" s="330">
        <v>5646.82</v>
      </c>
      <c r="Q326" s="331">
        <v>1736</v>
      </c>
      <c r="R326" s="330">
        <v>16</v>
      </c>
      <c r="S326" s="330">
        <v>3</v>
      </c>
      <c r="T326" s="326" t="s">
        <v>170</v>
      </c>
      <c r="U326" s="326" t="s">
        <v>2040</v>
      </c>
      <c r="V326" s="332" t="s">
        <v>2560</v>
      </c>
      <c r="W326" s="333"/>
    </row>
    <row r="327" spans="1:23" ht="45" customHeight="1" x14ac:dyDescent="0.4">
      <c r="A327" s="323">
        <v>179475</v>
      </c>
      <c r="B327" s="324" t="s">
        <v>4390</v>
      </c>
      <c r="C327" s="325" t="s">
        <v>2561</v>
      </c>
      <c r="D327" s="326" t="s">
        <v>2045</v>
      </c>
      <c r="E327" s="327" t="s">
        <v>942</v>
      </c>
      <c r="F327" s="327"/>
      <c r="G327" s="327" t="s">
        <v>943</v>
      </c>
      <c r="H327" s="325" t="s">
        <v>2420</v>
      </c>
      <c r="I327" s="325" t="s">
        <v>2421</v>
      </c>
      <c r="J327" s="328">
        <v>17</v>
      </c>
      <c r="K327" s="329">
        <v>1750</v>
      </c>
      <c r="L327" s="325" t="s">
        <v>2562</v>
      </c>
      <c r="M327" s="326" t="s">
        <v>2483</v>
      </c>
      <c r="N327" s="326"/>
      <c r="O327" s="330">
        <v>99675.05</v>
      </c>
      <c r="P327" s="330">
        <v>438.6</v>
      </c>
      <c r="Q327" s="331">
        <v>1750</v>
      </c>
      <c r="R327" s="330">
        <v>90</v>
      </c>
      <c r="S327" s="330">
        <v>20</v>
      </c>
      <c r="T327" s="326" t="s">
        <v>170</v>
      </c>
      <c r="U327" s="326" t="s">
        <v>2040</v>
      </c>
      <c r="V327" s="332">
        <v>17814</v>
      </c>
      <c r="W327" s="333" t="s">
        <v>2563</v>
      </c>
    </row>
    <row r="328" spans="1:23" ht="45" customHeight="1" x14ac:dyDescent="0.4">
      <c r="A328" s="323">
        <v>179476</v>
      </c>
      <c r="B328" s="324" t="s">
        <v>4391</v>
      </c>
      <c r="C328" s="325" t="s">
        <v>944</v>
      </c>
      <c r="D328" s="326" t="s">
        <v>2045</v>
      </c>
      <c r="E328" s="327" t="s">
        <v>945</v>
      </c>
      <c r="F328" s="327"/>
      <c r="G328" s="327" t="s">
        <v>946</v>
      </c>
      <c r="H328" s="325" t="s">
        <v>2420</v>
      </c>
      <c r="I328" s="325" t="s">
        <v>2421</v>
      </c>
      <c r="J328" s="328">
        <v>17</v>
      </c>
      <c r="K328" s="329">
        <v>1758</v>
      </c>
      <c r="L328" s="325" t="s">
        <v>2501</v>
      </c>
      <c r="M328" s="326" t="s">
        <v>2483</v>
      </c>
      <c r="N328" s="326"/>
      <c r="O328" s="330">
        <v>173048.44</v>
      </c>
      <c r="P328" s="330">
        <v>693.96</v>
      </c>
      <c r="Q328" s="331">
        <v>1758</v>
      </c>
      <c r="R328" s="330">
        <v>11</v>
      </c>
      <c r="S328" s="330">
        <v>5</v>
      </c>
      <c r="T328" s="326" t="s">
        <v>170</v>
      </c>
      <c r="U328" s="326" t="s">
        <v>2040</v>
      </c>
      <c r="V328" s="332" t="s">
        <v>2564</v>
      </c>
      <c r="W328" s="333" t="s">
        <v>2565</v>
      </c>
    </row>
    <row r="329" spans="1:23" ht="45" customHeight="1" x14ac:dyDescent="0.4">
      <c r="A329" s="323">
        <v>179477</v>
      </c>
      <c r="B329" s="324" t="s">
        <v>2567</v>
      </c>
      <c r="C329" s="325" t="s">
        <v>2566</v>
      </c>
      <c r="D329" s="326" t="s">
        <v>2045</v>
      </c>
      <c r="E329" s="327" t="s">
        <v>4392</v>
      </c>
      <c r="F329" s="327" t="s">
        <v>4393</v>
      </c>
      <c r="G329" s="327" t="s">
        <v>947</v>
      </c>
      <c r="H329" s="325" t="s">
        <v>2420</v>
      </c>
      <c r="I329" s="325" t="s">
        <v>2421</v>
      </c>
      <c r="J329" s="328">
        <v>17</v>
      </c>
      <c r="K329" s="329">
        <v>1761</v>
      </c>
      <c r="L329" s="325" t="s">
        <v>2567</v>
      </c>
      <c r="M329" s="326" t="s">
        <v>2483</v>
      </c>
      <c r="N329" s="326"/>
      <c r="O329" s="330">
        <v>9070.8700000000008</v>
      </c>
      <c r="P329" s="330">
        <v>137.51</v>
      </c>
      <c r="Q329" s="331">
        <v>1761</v>
      </c>
      <c r="R329" s="330">
        <v>16</v>
      </c>
      <c r="S329" s="330">
        <v>5</v>
      </c>
      <c r="T329" s="326" t="s">
        <v>170</v>
      </c>
      <c r="U329" s="326" t="s">
        <v>2040</v>
      </c>
      <c r="V329" s="332">
        <v>17884</v>
      </c>
      <c r="W329" s="333">
        <v>17610</v>
      </c>
    </row>
    <row r="330" spans="1:23" ht="45" customHeight="1" x14ac:dyDescent="0.4">
      <c r="A330" s="323">
        <v>179481</v>
      </c>
      <c r="B330" s="324" t="s">
        <v>4394</v>
      </c>
      <c r="C330" s="325" t="s">
        <v>2568</v>
      </c>
      <c r="D330" s="326" t="s">
        <v>2045</v>
      </c>
      <c r="E330" s="327" t="s">
        <v>948</v>
      </c>
      <c r="F330" s="327" t="s">
        <v>4395</v>
      </c>
      <c r="G330" s="327" t="s">
        <v>949</v>
      </c>
      <c r="H330" s="325" t="s">
        <v>2569</v>
      </c>
      <c r="I330" s="325" t="s">
        <v>2570</v>
      </c>
      <c r="J330" s="328">
        <v>17</v>
      </c>
      <c r="K330" s="329">
        <v>1793</v>
      </c>
      <c r="L330" s="325" t="s">
        <v>2571</v>
      </c>
      <c r="M330" s="326" t="s">
        <v>2076</v>
      </c>
      <c r="N330" s="326"/>
      <c r="O330" s="330">
        <v>0</v>
      </c>
      <c r="P330" s="330">
        <v>0</v>
      </c>
      <c r="Q330" s="331">
        <v>1793</v>
      </c>
      <c r="R330" s="330">
        <v>1</v>
      </c>
      <c r="S330" s="330">
        <v>1</v>
      </c>
      <c r="T330" s="326" t="s">
        <v>170</v>
      </c>
      <c r="U330" s="326" t="s">
        <v>2040</v>
      </c>
      <c r="V330" s="332">
        <v>17914</v>
      </c>
      <c r="W330" s="333">
        <v>17937</v>
      </c>
    </row>
    <row r="331" spans="1:23" ht="45" customHeight="1" x14ac:dyDescent="0.4">
      <c r="A331" s="323">
        <v>179511</v>
      </c>
      <c r="B331" s="324" t="s">
        <v>4396</v>
      </c>
      <c r="C331" s="325" t="s">
        <v>2572</v>
      </c>
      <c r="D331" s="326" t="s">
        <v>2045</v>
      </c>
      <c r="E331" s="327" t="s">
        <v>950</v>
      </c>
      <c r="F331" s="327"/>
      <c r="G331" s="327" t="s">
        <v>951</v>
      </c>
      <c r="H331" s="325" t="s">
        <v>2035</v>
      </c>
      <c r="I331" s="325" t="s">
        <v>228</v>
      </c>
      <c r="J331" s="328">
        <v>17</v>
      </c>
      <c r="K331" s="329">
        <v>1795</v>
      </c>
      <c r="L331" s="325" t="s">
        <v>3837</v>
      </c>
      <c r="M331" s="326" t="s">
        <v>226</v>
      </c>
      <c r="N331" s="326"/>
      <c r="O331" s="330">
        <v>378.65</v>
      </c>
      <c r="P331" s="330">
        <v>0.31</v>
      </c>
      <c r="Q331" s="331">
        <v>1795</v>
      </c>
      <c r="R331" s="330">
        <v>85000</v>
      </c>
      <c r="S331" s="330">
        <v>17000</v>
      </c>
      <c r="T331" s="326" t="s">
        <v>170</v>
      </c>
      <c r="U331" s="326" t="s">
        <v>2040</v>
      </c>
      <c r="V331" s="332">
        <v>17981</v>
      </c>
      <c r="W331" s="333">
        <v>17951</v>
      </c>
    </row>
    <row r="332" spans="1:23" ht="45" customHeight="1" x14ac:dyDescent="0.4">
      <c r="A332" s="323">
        <v>179530</v>
      </c>
      <c r="B332" s="324" t="s">
        <v>2574</v>
      </c>
      <c r="C332" s="325" t="s">
        <v>2573</v>
      </c>
      <c r="D332" s="326" t="s">
        <v>2084</v>
      </c>
      <c r="E332" s="327" t="s">
        <v>4397</v>
      </c>
      <c r="F332" s="327"/>
      <c r="G332" s="327" t="s">
        <v>383</v>
      </c>
      <c r="H332" s="325" t="e">
        <v>#N/A</v>
      </c>
      <c r="I332" s="325" t="e">
        <v>#N/A</v>
      </c>
      <c r="J332" s="328">
        <v>17</v>
      </c>
      <c r="K332" s="329" t="s">
        <v>4398</v>
      </c>
      <c r="L332" s="325" t="s">
        <v>2574</v>
      </c>
      <c r="M332" s="326" t="s">
        <v>226</v>
      </c>
      <c r="N332" s="326"/>
      <c r="O332" s="330">
        <v>418.52</v>
      </c>
      <c r="P332" s="330">
        <v>14.63</v>
      </c>
      <c r="Q332" s="331">
        <v>1726</v>
      </c>
      <c r="R332" s="330">
        <v>55000</v>
      </c>
      <c r="S332" s="330">
        <v>11000</v>
      </c>
      <c r="T332" s="326" t="s">
        <v>170</v>
      </c>
      <c r="U332" s="326" t="s">
        <v>2040</v>
      </c>
      <c r="V332" s="332"/>
      <c r="W332" s="333">
        <v>17953</v>
      </c>
    </row>
    <row r="333" spans="1:23" ht="45" customHeight="1" x14ac:dyDescent="0.4">
      <c r="A333" s="323">
        <v>179621</v>
      </c>
      <c r="B333" s="324" t="s">
        <v>4399</v>
      </c>
      <c r="C333" s="325" t="s">
        <v>2575</v>
      </c>
      <c r="D333" s="326" t="s">
        <v>2045</v>
      </c>
      <c r="E333" s="327" t="s">
        <v>952</v>
      </c>
      <c r="F333" s="327" t="s">
        <v>4400</v>
      </c>
      <c r="G333" s="327" t="s">
        <v>953</v>
      </c>
      <c r="H333" s="325" t="s">
        <v>228</v>
      </c>
      <c r="I333" s="325" t="s">
        <v>228</v>
      </c>
      <c r="J333" s="328">
        <v>17</v>
      </c>
      <c r="K333" s="329">
        <v>1796</v>
      </c>
      <c r="L333" s="325" t="s">
        <v>2576</v>
      </c>
      <c r="M333" s="326" t="s">
        <v>226</v>
      </c>
      <c r="N333" s="326"/>
      <c r="O333" s="330">
        <v>364.38</v>
      </c>
      <c r="P333" s="330">
        <v>0.82</v>
      </c>
      <c r="Q333" s="331">
        <v>1796</v>
      </c>
      <c r="R333" s="330">
        <v>880000</v>
      </c>
      <c r="S333" s="330">
        <v>52000</v>
      </c>
      <c r="T333" s="326" t="s">
        <v>170</v>
      </c>
      <c r="U333" s="326" t="s">
        <v>2040</v>
      </c>
      <c r="V333" s="332">
        <v>17995</v>
      </c>
      <c r="W333" s="333">
        <v>17963</v>
      </c>
    </row>
    <row r="334" spans="1:23" ht="45" customHeight="1" x14ac:dyDescent="0.4">
      <c r="A334" s="323">
        <v>179723</v>
      </c>
      <c r="B334" s="324" t="s">
        <v>4401</v>
      </c>
      <c r="C334" s="325" t="s">
        <v>2577</v>
      </c>
      <c r="D334" s="326" t="s">
        <v>2045</v>
      </c>
      <c r="E334" s="327" t="s">
        <v>954</v>
      </c>
      <c r="F334" s="327" t="s">
        <v>4402</v>
      </c>
      <c r="G334" s="327" t="s">
        <v>955</v>
      </c>
      <c r="H334" s="325" t="s">
        <v>228</v>
      </c>
      <c r="I334" s="325" t="s">
        <v>228</v>
      </c>
      <c r="J334" s="328">
        <v>17</v>
      </c>
      <c r="K334" s="329">
        <v>1797</v>
      </c>
      <c r="L334" s="325" t="s">
        <v>2578</v>
      </c>
      <c r="M334" s="326" t="s">
        <v>2483</v>
      </c>
      <c r="N334" s="326"/>
      <c r="O334" s="330">
        <v>9665.32</v>
      </c>
      <c r="P334" s="330">
        <v>165.62</v>
      </c>
      <c r="Q334" s="331">
        <v>1797</v>
      </c>
      <c r="R334" s="330">
        <v>8</v>
      </c>
      <c r="S334" s="330">
        <v>5</v>
      </c>
      <c r="T334" s="326" t="s">
        <v>170</v>
      </c>
      <c r="U334" s="326" t="s">
        <v>2040</v>
      </c>
      <c r="V334" s="332">
        <v>17881</v>
      </c>
      <c r="W334" s="333"/>
    </row>
    <row r="335" spans="1:23" ht="45" customHeight="1" x14ac:dyDescent="0.4">
      <c r="A335" s="323">
        <v>179724</v>
      </c>
      <c r="B335" s="324" t="s">
        <v>4403</v>
      </c>
      <c r="C335" s="325" t="s">
        <v>2579</v>
      </c>
      <c r="D335" s="326" t="s">
        <v>2045</v>
      </c>
      <c r="E335" s="327" t="s">
        <v>956</v>
      </c>
      <c r="F335" s="327" t="s">
        <v>4404</v>
      </c>
      <c r="G335" s="327" t="s">
        <v>957</v>
      </c>
      <c r="H335" s="325" t="s">
        <v>228</v>
      </c>
      <c r="I335" s="325" t="s">
        <v>228</v>
      </c>
      <c r="J335" s="328">
        <v>17</v>
      </c>
      <c r="K335" s="329">
        <v>1797</v>
      </c>
      <c r="L335" s="325" t="s">
        <v>2578</v>
      </c>
      <c r="M335" s="326" t="s">
        <v>2483</v>
      </c>
      <c r="N335" s="326"/>
      <c r="O335" s="330">
        <v>9665.32</v>
      </c>
      <c r="P335" s="330">
        <v>165.62</v>
      </c>
      <c r="Q335" s="331">
        <v>1797</v>
      </c>
      <c r="R335" s="330">
        <v>8</v>
      </c>
      <c r="S335" s="330">
        <v>5</v>
      </c>
      <c r="T335" s="326" t="s">
        <v>170</v>
      </c>
      <c r="U335" s="326" t="s">
        <v>2040</v>
      </c>
      <c r="V335" s="332">
        <v>17882</v>
      </c>
      <c r="W335" s="333"/>
    </row>
    <row r="336" spans="1:23" ht="45" customHeight="1" x14ac:dyDescent="0.4">
      <c r="A336" s="323">
        <v>179821</v>
      </c>
      <c r="B336" s="324" t="s">
        <v>4405</v>
      </c>
      <c r="C336" s="325" t="s">
        <v>2580</v>
      </c>
      <c r="D336" s="326" t="s">
        <v>2045</v>
      </c>
      <c r="E336" s="327" t="s">
        <v>958</v>
      </c>
      <c r="F336" s="327" t="s">
        <v>4406</v>
      </c>
      <c r="G336" s="327" t="s">
        <v>959</v>
      </c>
      <c r="H336" s="325" t="s">
        <v>228</v>
      </c>
      <c r="I336" s="325" t="s">
        <v>228</v>
      </c>
      <c r="J336" s="328">
        <v>17</v>
      </c>
      <c r="K336" s="329">
        <v>1798</v>
      </c>
      <c r="L336" s="325" t="s">
        <v>2581</v>
      </c>
      <c r="M336" s="326" t="s">
        <v>2076</v>
      </c>
      <c r="N336" s="326"/>
      <c r="O336" s="330">
        <v>186356.2</v>
      </c>
      <c r="P336" s="330">
        <v>548.32000000000005</v>
      </c>
      <c r="Q336" s="331">
        <v>1798</v>
      </c>
      <c r="R336" s="330">
        <v>1</v>
      </c>
      <c r="S336" s="330">
        <v>1</v>
      </c>
      <c r="T336" s="326" t="s">
        <v>170</v>
      </c>
      <c r="U336" s="326" t="s">
        <v>2040</v>
      </c>
      <c r="V336" s="332">
        <v>17891</v>
      </c>
      <c r="W336" s="333">
        <v>17981</v>
      </c>
    </row>
    <row r="337" spans="1:23" ht="45" customHeight="1" x14ac:dyDescent="0.4">
      <c r="A337" s="323">
        <v>179921</v>
      </c>
      <c r="B337" s="324" t="s">
        <v>4407</v>
      </c>
      <c r="C337" s="325" t="s">
        <v>2542</v>
      </c>
      <c r="D337" s="326" t="s">
        <v>2045</v>
      </c>
      <c r="E337" s="327" t="s">
        <v>3713</v>
      </c>
      <c r="F337" s="327"/>
      <c r="G337" s="327" t="s">
        <v>960</v>
      </c>
      <c r="H337" s="325" t="s">
        <v>228</v>
      </c>
      <c r="I337" s="325" t="s">
        <v>228</v>
      </c>
      <c r="J337" s="328">
        <v>17</v>
      </c>
      <c r="K337" s="329">
        <v>1799</v>
      </c>
      <c r="L337" s="325" t="s">
        <v>3838</v>
      </c>
      <c r="M337" s="326" t="s">
        <v>2076</v>
      </c>
      <c r="N337" s="326"/>
      <c r="O337" s="330">
        <v>143355.72</v>
      </c>
      <c r="P337" s="330">
        <v>3196.21</v>
      </c>
      <c r="Q337" s="331">
        <v>1799</v>
      </c>
      <c r="R337" s="330">
        <v>1</v>
      </c>
      <c r="S337" s="330">
        <v>1</v>
      </c>
      <c r="T337" s="326" t="s">
        <v>170</v>
      </c>
      <c r="U337" s="326" t="s">
        <v>2040</v>
      </c>
      <c r="V337" s="332">
        <v>17950</v>
      </c>
      <c r="W337" s="333">
        <v>17991</v>
      </c>
    </row>
    <row r="338" spans="1:23" ht="45" customHeight="1" x14ac:dyDescent="0.4">
      <c r="A338" s="323">
        <v>179922</v>
      </c>
      <c r="B338" s="324" t="s">
        <v>4408</v>
      </c>
      <c r="C338" s="325" t="s">
        <v>2582</v>
      </c>
      <c r="D338" s="326" t="s">
        <v>2045</v>
      </c>
      <c r="E338" s="327" t="s">
        <v>3714</v>
      </c>
      <c r="F338" s="327"/>
      <c r="G338" s="327" t="s">
        <v>961</v>
      </c>
      <c r="H338" s="325" t="s">
        <v>228</v>
      </c>
      <c r="I338" s="325" t="s">
        <v>228</v>
      </c>
      <c r="J338" s="328">
        <v>17</v>
      </c>
      <c r="K338" s="329">
        <v>1799</v>
      </c>
      <c r="L338" s="325" t="s">
        <v>3838</v>
      </c>
      <c r="M338" s="326" t="s">
        <v>2076</v>
      </c>
      <c r="N338" s="326"/>
      <c r="O338" s="330">
        <v>143355.72</v>
      </c>
      <c r="P338" s="330">
        <v>3196.21</v>
      </c>
      <c r="Q338" s="331">
        <v>1799</v>
      </c>
      <c r="R338" s="330">
        <v>1</v>
      </c>
      <c r="S338" s="330">
        <v>1</v>
      </c>
      <c r="T338" s="326" t="s">
        <v>170</v>
      </c>
      <c r="U338" s="326" t="s">
        <v>2040</v>
      </c>
      <c r="V338" s="332">
        <v>17951</v>
      </c>
      <c r="W338" s="333">
        <v>17991</v>
      </c>
    </row>
    <row r="339" spans="1:23" ht="45" customHeight="1" x14ac:dyDescent="0.4">
      <c r="A339" s="323">
        <v>179923</v>
      </c>
      <c r="B339" s="324" t="s">
        <v>4409</v>
      </c>
      <c r="C339" s="325" t="s">
        <v>962</v>
      </c>
      <c r="D339" s="326" t="s">
        <v>2045</v>
      </c>
      <c r="E339" s="327" t="s">
        <v>3715</v>
      </c>
      <c r="F339" s="327" t="s">
        <v>4410</v>
      </c>
      <c r="G339" s="327" t="s">
        <v>963</v>
      </c>
      <c r="H339" s="325" t="s">
        <v>228</v>
      </c>
      <c r="I339" s="325" t="s">
        <v>228</v>
      </c>
      <c r="J339" s="328">
        <v>17</v>
      </c>
      <c r="K339" s="329">
        <v>1799</v>
      </c>
      <c r="L339" s="325" t="s">
        <v>3838</v>
      </c>
      <c r="M339" s="326" t="s">
        <v>2076</v>
      </c>
      <c r="N339" s="326"/>
      <c r="O339" s="330">
        <v>143355.72</v>
      </c>
      <c r="P339" s="330">
        <v>3196.21</v>
      </c>
      <c r="Q339" s="331">
        <v>1799</v>
      </c>
      <c r="R339" s="330">
        <v>1</v>
      </c>
      <c r="S339" s="330">
        <v>1</v>
      </c>
      <c r="T339" s="326" t="s">
        <v>170</v>
      </c>
      <c r="U339" s="326" t="s">
        <v>2040</v>
      </c>
      <c r="V339" s="332">
        <v>17994</v>
      </c>
      <c r="W339" s="333">
        <v>17992</v>
      </c>
    </row>
    <row r="340" spans="1:23" ht="45" customHeight="1" x14ac:dyDescent="0.4">
      <c r="A340" s="323">
        <v>211111</v>
      </c>
      <c r="B340" s="324" t="s">
        <v>4411</v>
      </c>
      <c r="C340" s="325" t="s">
        <v>2583</v>
      </c>
      <c r="D340" s="326" t="s">
        <v>2084</v>
      </c>
      <c r="E340" s="327" t="s">
        <v>3717</v>
      </c>
      <c r="F340" s="327"/>
      <c r="G340" s="327" t="s">
        <v>3716</v>
      </c>
      <c r="H340" s="325" t="s">
        <v>2057</v>
      </c>
      <c r="I340" s="325" t="s">
        <v>228</v>
      </c>
      <c r="J340" s="328">
        <v>21</v>
      </c>
      <c r="K340" s="329">
        <v>2111</v>
      </c>
      <c r="L340" s="325" t="s">
        <v>2229</v>
      </c>
      <c r="M340" s="326" t="s">
        <v>226</v>
      </c>
      <c r="N340" s="326"/>
      <c r="O340" s="330">
        <v>741</v>
      </c>
      <c r="P340" s="330">
        <v>4.6399999999999997</v>
      </c>
      <c r="Q340" s="331">
        <v>2111</v>
      </c>
      <c r="R340" s="330">
        <v>200000</v>
      </c>
      <c r="S340" s="330">
        <v>28000</v>
      </c>
      <c r="T340" s="326" t="s">
        <v>170</v>
      </c>
      <c r="U340" s="326" t="s">
        <v>2040</v>
      </c>
      <c r="V340" s="332">
        <v>21110</v>
      </c>
      <c r="W340" s="333" t="s">
        <v>2584</v>
      </c>
    </row>
    <row r="341" spans="1:23" ht="45" customHeight="1" x14ac:dyDescent="0.4">
      <c r="A341" s="323">
        <v>211116</v>
      </c>
      <c r="B341" s="324" t="s">
        <v>4412</v>
      </c>
      <c r="C341" s="325" t="s">
        <v>2585</v>
      </c>
      <c r="D341" s="326" t="s">
        <v>2084</v>
      </c>
      <c r="E341" s="327" t="s">
        <v>964</v>
      </c>
      <c r="F341" s="327"/>
      <c r="G341" s="327" t="s">
        <v>965</v>
      </c>
      <c r="H341" s="325" t="s">
        <v>2057</v>
      </c>
      <c r="I341" s="325" t="s">
        <v>2586</v>
      </c>
      <c r="J341" s="328">
        <v>21</v>
      </c>
      <c r="K341" s="329">
        <v>2115</v>
      </c>
      <c r="L341" s="325" t="s">
        <v>2587</v>
      </c>
      <c r="M341" s="326" t="s">
        <v>226</v>
      </c>
      <c r="N341" s="326"/>
      <c r="O341" s="330">
        <v>511</v>
      </c>
      <c r="P341" s="330">
        <v>2.33</v>
      </c>
      <c r="Q341" s="331">
        <v>2115</v>
      </c>
      <c r="R341" s="330">
        <v>252000</v>
      </c>
      <c r="S341" s="330">
        <v>69000</v>
      </c>
      <c r="T341" s="326" t="s">
        <v>170</v>
      </c>
      <c r="U341" s="326" t="s">
        <v>2040</v>
      </c>
      <c r="V341" s="332"/>
      <c r="W341" s="333"/>
    </row>
    <row r="342" spans="1:23" ht="45" customHeight="1" x14ac:dyDescent="0.4">
      <c r="A342" s="323">
        <v>211147</v>
      </c>
      <c r="B342" s="324" t="s">
        <v>4413</v>
      </c>
      <c r="C342" s="325" t="s">
        <v>2588</v>
      </c>
      <c r="D342" s="326" t="s">
        <v>2084</v>
      </c>
      <c r="E342" s="327" t="s">
        <v>966</v>
      </c>
      <c r="F342" s="327"/>
      <c r="G342" s="327" t="s">
        <v>967</v>
      </c>
      <c r="H342" s="325" t="s">
        <v>2078</v>
      </c>
      <c r="I342" s="325" t="s">
        <v>2057</v>
      </c>
      <c r="J342" s="328">
        <v>21</v>
      </c>
      <c r="K342" s="329">
        <v>2112</v>
      </c>
      <c r="L342" s="325" t="s">
        <v>2589</v>
      </c>
      <c r="M342" s="326" t="s">
        <v>226</v>
      </c>
      <c r="N342" s="326"/>
      <c r="O342" s="330">
        <v>495.95</v>
      </c>
      <c r="P342" s="330">
        <v>4.5199999999999996</v>
      </c>
      <c r="Q342" s="331">
        <v>2112</v>
      </c>
      <c r="R342" s="330">
        <v>120000</v>
      </c>
      <c r="S342" s="330">
        <v>9900</v>
      </c>
      <c r="T342" s="326" t="s">
        <v>170</v>
      </c>
      <c r="U342" s="326" t="s">
        <v>2040</v>
      </c>
      <c r="V342" s="332"/>
      <c r="W342" s="333">
        <v>21154</v>
      </c>
    </row>
    <row r="343" spans="1:23" ht="45" customHeight="1" x14ac:dyDescent="0.4">
      <c r="A343" s="323">
        <v>211150</v>
      </c>
      <c r="B343" s="324" t="s">
        <v>4414</v>
      </c>
      <c r="C343" s="325" t="s">
        <v>2590</v>
      </c>
      <c r="D343" s="326" t="s">
        <v>2084</v>
      </c>
      <c r="E343" s="327" t="s">
        <v>4415</v>
      </c>
      <c r="F343" s="327"/>
      <c r="G343" s="327" t="s">
        <v>383</v>
      </c>
      <c r="H343" s="325" t="e">
        <v>#N/A</v>
      </c>
      <c r="I343" s="325" t="e">
        <v>#N/A</v>
      </c>
      <c r="J343" s="326">
        <v>21</v>
      </c>
      <c r="K343" s="329">
        <v>2111</v>
      </c>
      <c r="L343" s="325" t="s">
        <v>2229</v>
      </c>
      <c r="M343" s="326" t="s">
        <v>226</v>
      </c>
      <c r="N343" s="326"/>
      <c r="O343" s="330">
        <v>741</v>
      </c>
      <c r="P343" s="330">
        <v>4.6399999999999997</v>
      </c>
      <c r="Q343" s="331">
        <v>2111</v>
      </c>
      <c r="R343" s="330">
        <v>200000</v>
      </c>
      <c r="S343" s="330">
        <v>28000</v>
      </c>
      <c r="T343" s="326" t="s">
        <v>170</v>
      </c>
      <c r="U343" s="326" t="s">
        <v>2040</v>
      </c>
      <c r="V343" s="332">
        <v>21115</v>
      </c>
      <c r="W343" s="333"/>
    </row>
    <row r="344" spans="1:23" ht="45" customHeight="1" x14ac:dyDescent="0.4">
      <c r="A344" s="323">
        <v>211152</v>
      </c>
      <c r="B344" s="324" t="s">
        <v>4416</v>
      </c>
      <c r="C344" s="325" t="s">
        <v>2591</v>
      </c>
      <c r="D344" s="326" t="s">
        <v>2084</v>
      </c>
      <c r="E344" s="327" t="s">
        <v>968</v>
      </c>
      <c r="F344" s="327"/>
      <c r="G344" s="327" t="s">
        <v>969</v>
      </c>
      <c r="H344" s="325" t="s">
        <v>2057</v>
      </c>
      <c r="I344" s="325" t="s">
        <v>228</v>
      </c>
      <c r="J344" s="328">
        <v>21</v>
      </c>
      <c r="K344" s="329">
        <v>2112</v>
      </c>
      <c r="L344" s="325" t="s">
        <v>2589</v>
      </c>
      <c r="M344" s="326" t="s">
        <v>226</v>
      </c>
      <c r="N344" s="326"/>
      <c r="O344" s="330">
        <v>495.95</v>
      </c>
      <c r="P344" s="330">
        <v>4.5199999999999996</v>
      </c>
      <c r="Q344" s="331">
        <v>2112</v>
      </c>
      <c r="R344" s="330">
        <v>120000</v>
      </c>
      <c r="S344" s="330">
        <v>9900</v>
      </c>
      <c r="T344" s="326" t="s">
        <v>170</v>
      </c>
      <c r="U344" s="326" t="s">
        <v>2040</v>
      </c>
      <c r="V344" s="332"/>
      <c r="W344" s="333" t="s">
        <v>2592</v>
      </c>
    </row>
    <row r="345" spans="1:23" ht="45" customHeight="1" x14ac:dyDescent="0.4">
      <c r="A345" s="323">
        <v>211153</v>
      </c>
      <c r="B345" s="324" t="s">
        <v>4417</v>
      </c>
      <c r="C345" s="325" t="s">
        <v>2593</v>
      </c>
      <c r="D345" s="326" t="s">
        <v>2084</v>
      </c>
      <c r="E345" s="327" t="s">
        <v>970</v>
      </c>
      <c r="F345" s="327"/>
      <c r="G345" s="327" t="s">
        <v>971</v>
      </c>
      <c r="H345" s="325" t="s">
        <v>2057</v>
      </c>
      <c r="I345" s="325" t="s">
        <v>228</v>
      </c>
      <c r="J345" s="328">
        <v>21</v>
      </c>
      <c r="K345" s="329">
        <v>2112</v>
      </c>
      <c r="L345" s="325" t="s">
        <v>2589</v>
      </c>
      <c r="M345" s="326" t="s">
        <v>226</v>
      </c>
      <c r="N345" s="326"/>
      <c r="O345" s="330">
        <v>495.95</v>
      </c>
      <c r="P345" s="330">
        <v>4.5199999999999996</v>
      </c>
      <c r="Q345" s="331">
        <v>2112</v>
      </c>
      <c r="R345" s="330">
        <v>120000</v>
      </c>
      <c r="S345" s="330">
        <v>9900</v>
      </c>
      <c r="T345" s="326" t="s">
        <v>170</v>
      </c>
      <c r="U345" s="326" t="s">
        <v>2040</v>
      </c>
      <c r="V345" s="332"/>
      <c r="W345" s="333">
        <v>21106</v>
      </c>
    </row>
    <row r="346" spans="1:23" ht="45" customHeight="1" x14ac:dyDescent="0.4">
      <c r="A346" s="323">
        <v>211154</v>
      </c>
      <c r="B346" s="324" t="s">
        <v>4418</v>
      </c>
      <c r="C346" s="325" t="s">
        <v>2594</v>
      </c>
      <c r="D346" s="326" t="s">
        <v>2084</v>
      </c>
      <c r="E346" s="327" t="s">
        <v>972</v>
      </c>
      <c r="F346" s="327" t="s">
        <v>4419</v>
      </c>
      <c r="G346" s="327" t="s">
        <v>973</v>
      </c>
      <c r="H346" s="325" t="s">
        <v>2057</v>
      </c>
      <c r="I346" s="325" t="s">
        <v>2595</v>
      </c>
      <c r="J346" s="328">
        <v>21</v>
      </c>
      <c r="K346" s="329">
        <v>2112</v>
      </c>
      <c r="L346" s="325" t="s">
        <v>2589</v>
      </c>
      <c r="M346" s="326" t="s">
        <v>226</v>
      </c>
      <c r="N346" s="326"/>
      <c r="O346" s="330">
        <v>495.95</v>
      </c>
      <c r="P346" s="330">
        <v>4.5199999999999996</v>
      </c>
      <c r="Q346" s="331">
        <v>2112</v>
      </c>
      <c r="R346" s="330">
        <v>120000</v>
      </c>
      <c r="S346" s="330">
        <v>9900</v>
      </c>
      <c r="T346" s="326" t="s">
        <v>170</v>
      </c>
      <c r="U346" s="326" t="s">
        <v>2040</v>
      </c>
      <c r="V346" s="332"/>
      <c r="W346" s="333">
        <v>21106</v>
      </c>
    </row>
    <row r="347" spans="1:23" ht="45" customHeight="1" x14ac:dyDescent="0.4">
      <c r="A347" s="323">
        <v>211157</v>
      </c>
      <c r="B347" s="324" t="s">
        <v>4420</v>
      </c>
      <c r="C347" s="325" t="s">
        <v>2596</v>
      </c>
      <c r="D347" s="326" t="s">
        <v>2084</v>
      </c>
      <c r="E347" s="327" t="s">
        <v>974</v>
      </c>
      <c r="F347" s="327" t="s">
        <v>4421</v>
      </c>
      <c r="G347" s="327" t="s">
        <v>975</v>
      </c>
      <c r="H347" s="325" t="s">
        <v>2057</v>
      </c>
      <c r="I347" s="325" t="s">
        <v>228</v>
      </c>
      <c r="J347" s="328">
        <v>21</v>
      </c>
      <c r="K347" s="329">
        <v>2116</v>
      </c>
      <c r="L347" s="325" t="s">
        <v>2597</v>
      </c>
      <c r="M347" s="326" t="s">
        <v>226</v>
      </c>
      <c r="N347" s="326"/>
      <c r="O347" s="330">
        <v>512.63</v>
      </c>
      <c r="P347" s="330">
        <v>3.63</v>
      </c>
      <c r="Q347" s="331">
        <v>2116</v>
      </c>
      <c r="R347" s="330">
        <v>280000</v>
      </c>
      <c r="S347" s="330">
        <v>14000</v>
      </c>
      <c r="T347" s="326" t="s">
        <v>170</v>
      </c>
      <c r="U347" s="326" t="s">
        <v>2040</v>
      </c>
      <c r="V347" s="332"/>
      <c r="W347" s="333">
        <v>21120</v>
      </c>
    </row>
    <row r="348" spans="1:23" ht="45" customHeight="1" x14ac:dyDescent="0.4">
      <c r="A348" s="323">
        <v>211159</v>
      </c>
      <c r="B348" s="324" t="s">
        <v>4422</v>
      </c>
      <c r="C348" s="325" t="s">
        <v>2598</v>
      </c>
      <c r="D348" s="326" t="s">
        <v>2084</v>
      </c>
      <c r="E348" s="327" t="s">
        <v>4423</v>
      </c>
      <c r="F348" s="327"/>
      <c r="G348" s="327" t="s">
        <v>3718</v>
      </c>
      <c r="H348" s="325" t="s">
        <v>2057</v>
      </c>
      <c r="I348" s="325" t="s">
        <v>228</v>
      </c>
      <c r="J348" s="328">
        <v>21</v>
      </c>
      <c r="K348" s="329">
        <v>2113</v>
      </c>
      <c r="L348" s="325" t="s">
        <v>2599</v>
      </c>
      <c r="M348" s="326" t="s">
        <v>226</v>
      </c>
      <c r="N348" s="326"/>
      <c r="O348" s="330">
        <v>1043</v>
      </c>
      <c r="P348" s="330">
        <v>3.75</v>
      </c>
      <c r="Q348" s="331">
        <v>2113</v>
      </c>
      <c r="R348" s="330">
        <v>100000</v>
      </c>
      <c r="S348" s="330">
        <v>17000</v>
      </c>
      <c r="T348" s="326" t="s">
        <v>170</v>
      </c>
      <c r="U348" s="326" t="s">
        <v>2040</v>
      </c>
      <c r="V348" s="332"/>
      <c r="W348" s="333">
        <v>21103</v>
      </c>
    </row>
    <row r="349" spans="1:23" ht="45" customHeight="1" x14ac:dyDescent="0.4">
      <c r="A349" s="323">
        <v>211161</v>
      </c>
      <c r="B349" s="324" t="s">
        <v>4424</v>
      </c>
      <c r="C349" s="325" t="s">
        <v>2600</v>
      </c>
      <c r="D349" s="326" t="s">
        <v>2084</v>
      </c>
      <c r="E349" s="327" t="s">
        <v>976</v>
      </c>
      <c r="F349" s="327"/>
      <c r="G349" s="327" t="s">
        <v>977</v>
      </c>
      <c r="H349" s="325" t="s">
        <v>2057</v>
      </c>
      <c r="I349" s="325" t="s">
        <v>228</v>
      </c>
      <c r="J349" s="328">
        <v>44</v>
      </c>
      <c r="K349" s="329">
        <v>4423</v>
      </c>
      <c r="L349" s="325" t="s">
        <v>2601</v>
      </c>
      <c r="M349" s="326" t="s">
        <v>226</v>
      </c>
      <c r="N349" s="326" t="s">
        <v>2602</v>
      </c>
      <c r="O349" s="330">
        <v>693.84</v>
      </c>
      <c r="P349" s="330">
        <v>6.07</v>
      </c>
      <c r="Q349" s="331">
        <v>4423</v>
      </c>
      <c r="R349" s="330">
        <v>190000</v>
      </c>
      <c r="S349" s="330">
        <v>1900</v>
      </c>
      <c r="T349" s="326" t="s">
        <v>170</v>
      </c>
      <c r="U349" s="326" t="s">
        <v>2040</v>
      </c>
      <c r="V349" s="332" t="s">
        <v>228</v>
      </c>
      <c r="W349" s="333">
        <v>44130</v>
      </c>
    </row>
    <row r="350" spans="1:23" ht="45" customHeight="1" x14ac:dyDescent="0.4">
      <c r="A350" s="323">
        <v>211172</v>
      </c>
      <c r="B350" s="324" t="s">
        <v>4425</v>
      </c>
      <c r="C350" s="325" t="s">
        <v>2603</v>
      </c>
      <c r="D350" s="326" t="s">
        <v>2084</v>
      </c>
      <c r="E350" s="327" t="s">
        <v>4426</v>
      </c>
      <c r="F350" s="327"/>
      <c r="G350" s="327" t="s">
        <v>383</v>
      </c>
      <c r="H350" s="325" t="e">
        <v>#N/A</v>
      </c>
      <c r="I350" s="325" t="e">
        <v>#N/A</v>
      </c>
      <c r="J350" s="326">
        <v>31</v>
      </c>
      <c r="K350" s="329">
        <v>3111</v>
      </c>
      <c r="L350" s="325" t="s">
        <v>2604</v>
      </c>
      <c r="M350" s="326" t="s">
        <v>226</v>
      </c>
      <c r="N350" s="326"/>
      <c r="O350" s="330">
        <v>512.75</v>
      </c>
      <c r="P350" s="330">
        <v>8.33</v>
      </c>
      <c r="Q350" s="331">
        <v>3111</v>
      </c>
      <c r="R350" s="330">
        <v>230000</v>
      </c>
      <c r="S350" s="330">
        <v>31000</v>
      </c>
      <c r="T350" s="326" t="s">
        <v>170</v>
      </c>
      <c r="U350" s="326" t="s">
        <v>2040</v>
      </c>
      <c r="V350" s="332"/>
      <c r="W350" s="333"/>
    </row>
    <row r="351" spans="1:23" ht="45" customHeight="1" x14ac:dyDescent="0.4">
      <c r="A351" s="323">
        <v>211179</v>
      </c>
      <c r="B351" s="324" t="s">
        <v>4427</v>
      </c>
      <c r="C351" s="325" t="s">
        <v>2605</v>
      </c>
      <c r="D351" s="326" t="s">
        <v>2084</v>
      </c>
      <c r="E351" s="327" t="s">
        <v>978</v>
      </c>
      <c r="F351" s="327"/>
      <c r="G351" s="327" t="s">
        <v>979</v>
      </c>
      <c r="H351" s="325" t="s">
        <v>2057</v>
      </c>
      <c r="I351" s="325" t="s">
        <v>228</v>
      </c>
      <c r="J351" s="328">
        <v>21</v>
      </c>
      <c r="K351" s="329">
        <v>2111</v>
      </c>
      <c r="L351" s="325" t="s">
        <v>2229</v>
      </c>
      <c r="M351" s="326" t="s">
        <v>226</v>
      </c>
      <c r="N351" s="326"/>
      <c r="O351" s="330">
        <v>741</v>
      </c>
      <c r="P351" s="330">
        <v>4.6399999999999997</v>
      </c>
      <c r="Q351" s="331">
        <v>2111</v>
      </c>
      <c r="R351" s="330">
        <v>200000</v>
      </c>
      <c r="S351" s="330">
        <v>28000</v>
      </c>
      <c r="T351" s="326" t="s">
        <v>170</v>
      </c>
      <c r="U351" s="326" t="s">
        <v>2040</v>
      </c>
      <c r="V351" s="332">
        <v>21110</v>
      </c>
      <c r="W351" s="333">
        <v>21105</v>
      </c>
    </row>
    <row r="352" spans="1:23" ht="45" customHeight="1" x14ac:dyDescent="0.4">
      <c r="A352" s="323">
        <v>211183</v>
      </c>
      <c r="B352" s="324" t="s">
        <v>4428</v>
      </c>
      <c r="C352" s="325" t="s">
        <v>2606</v>
      </c>
      <c r="D352" s="326" t="s">
        <v>2084</v>
      </c>
      <c r="E352" s="327" t="s">
        <v>3720</v>
      </c>
      <c r="F352" s="327"/>
      <c r="G352" s="327" t="s">
        <v>3719</v>
      </c>
      <c r="H352" s="325" t="s">
        <v>2057</v>
      </c>
      <c r="I352" s="325" t="s">
        <v>2607</v>
      </c>
      <c r="J352" s="328">
        <v>21</v>
      </c>
      <c r="K352" s="329">
        <v>2114</v>
      </c>
      <c r="L352" s="325" t="s">
        <v>2608</v>
      </c>
      <c r="M352" s="326" t="s">
        <v>226</v>
      </c>
      <c r="N352" s="326"/>
      <c r="O352" s="330">
        <v>392.44</v>
      </c>
      <c r="P352" s="330">
        <v>7.81</v>
      </c>
      <c r="Q352" s="331">
        <v>2114</v>
      </c>
      <c r="R352" s="330">
        <v>56000</v>
      </c>
      <c r="S352" s="330">
        <v>6000</v>
      </c>
      <c r="T352" s="326" t="s">
        <v>170</v>
      </c>
      <c r="U352" s="326" t="s">
        <v>2040</v>
      </c>
      <c r="V352" s="332">
        <v>21140</v>
      </c>
      <c r="W352" s="333">
        <v>21101</v>
      </c>
    </row>
    <row r="353" spans="1:23" ht="45" customHeight="1" x14ac:dyDescent="0.4">
      <c r="A353" s="323">
        <v>211193</v>
      </c>
      <c r="B353" s="324" t="s">
        <v>4429</v>
      </c>
      <c r="C353" s="325" t="s">
        <v>2609</v>
      </c>
      <c r="D353" s="326" t="s">
        <v>2045</v>
      </c>
      <c r="E353" s="327" t="s">
        <v>4430</v>
      </c>
      <c r="F353" s="327"/>
      <c r="G353" s="327" t="s">
        <v>3721</v>
      </c>
      <c r="H353" s="325" t="s">
        <v>2057</v>
      </c>
      <c r="I353" s="325" t="s">
        <v>2607</v>
      </c>
      <c r="J353" s="328">
        <v>21</v>
      </c>
      <c r="K353" s="329">
        <v>2118</v>
      </c>
      <c r="L353" s="325" t="s">
        <v>2610</v>
      </c>
      <c r="M353" s="326" t="s">
        <v>2076</v>
      </c>
      <c r="N353" s="326"/>
      <c r="O353" s="330">
        <v>3750907.42</v>
      </c>
      <c r="P353" s="330">
        <v>25271.23</v>
      </c>
      <c r="Q353" s="331">
        <v>2118</v>
      </c>
      <c r="R353" s="330">
        <v>2</v>
      </c>
      <c r="S353" s="330">
        <v>1</v>
      </c>
      <c r="T353" s="326" t="s">
        <v>170</v>
      </c>
      <c r="U353" s="326" t="s">
        <v>2040</v>
      </c>
      <c r="V353" s="332">
        <v>21141</v>
      </c>
      <c r="W353" s="333" t="s">
        <v>2611</v>
      </c>
    </row>
    <row r="354" spans="1:23" ht="45" customHeight="1" x14ac:dyDescent="0.4">
      <c r="A354" s="323">
        <v>211251</v>
      </c>
      <c r="B354" s="324" t="s">
        <v>4431</v>
      </c>
      <c r="C354" s="325" t="s">
        <v>2612</v>
      </c>
      <c r="D354" s="326" t="s">
        <v>2084</v>
      </c>
      <c r="E354" s="327" t="s">
        <v>980</v>
      </c>
      <c r="F354" s="327"/>
      <c r="G354" s="327" t="s">
        <v>981</v>
      </c>
      <c r="H354" s="325" t="s">
        <v>2057</v>
      </c>
      <c r="I354" s="325" t="s">
        <v>2586</v>
      </c>
      <c r="J354" s="328">
        <v>21</v>
      </c>
      <c r="K354" s="329">
        <v>2116</v>
      </c>
      <c r="L354" s="325" t="s">
        <v>2597</v>
      </c>
      <c r="M354" s="326" t="s">
        <v>226</v>
      </c>
      <c r="N354" s="326"/>
      <c r="O354" s="330">
        <v>512.63</v>
      </c>
      <c r="P354" s="330">
        <v>3.63</v>
      </c>
      <c r="Q354" s="331">
        <v>2116</v>
      </c>
      <c r="R354" s="330">
        <v>280000</v>
      </c>
      <c r="S354" s="330">
        <v>14000</v>
      </c>
      <c r="T354" s="326" t="s">
        <v>170</v>
      </c>
      <c r="U354" s="326" t="s">
        <v>2040</v>
      </c>
      <c r="V354" s="332"/>
      <c r="W354" s="333">
        <v>21127</v>
      </c>
    </row>
    <row r="355" spans="1:23" ht="45" customHeight="1" x14ac:dyDescent="0.4">
      <c r="A355" s="323">
        <v>211252</v>
      </c>
      <c r="B355" s="324" t="s">
        <v>4432</v>
      </c>
      <c r="C355" s="325" t="s">
        <v>2613</v>
      </c>
      <c r="D355" s="326" t="s">
        <v>2084</v>
      </c>
      <c r="E355" s="327" t="s">
        <v>982</v>
      </c>
      <c r="F355" s="327"/>
      <c r="G355" s="327" t="s">
        <v>983</v>
      </c>
      <c r="H355" s="325" t="s">
        <v>2057</v>
      </c>
      <c r="I355" s="325" t="s">
        <v>2586</v>
      </c>
      <c r="J355" s="328">
        <v>21</v>
      </c>
      <c r="K355" s="329">
        <v>2116</v>
      </c>
      <c r="L355" s="325" t="s">
        <v>2597</v>
      </c>
      <c r="M355" s="326" t="s">
        <v>226</v>
      </c>
      <c r="N355" s="326"/>
      <c r="O355" s="330">
        <v>512.63</v>
      </c>
      <c r="P355" s="330">
        <v>3.63</v>
      </c>
      <c r="Q355" s="331">
        <v>2116</v>
      </c>
      <c r="R355" s="330">
        <v>280000</v>
      </c>
      <c r="S355" s="330">
        <v>14000</v>
      </c>
      <c r="T355" s="326" t="s">
        <v>170</v>
      </c>
      <c r="U355" s="326" t="s">
        <v>2040</v>
      </c>
      <c r="V355" s="332"/>
      <c r="W355" s="333"/>
    </row>
    <row r="356" spans="1:23" ht="45" customHeight="1" x14ac:dyDescent="0.4">
      <c r="A356" s="323">
        <v>211253</v>
      </c>
      <c r="B356" s="324" t="s">
        <v>4433</v>
      </c>
      <c r="C356" s="325" t="s">
        <v>2614</v>
      </c>
      <c r="D356" s="326" t="s">
        <v>2084</v>
      </c>
      <c r="E356" s="327" t="s">
        <v>984</v>
      </c>
      <c r="F356" s="327"/>
      <c r="G356" s="327" t="s">
        <v>985</v>
      </c>
      <c r="H356" s="325" t="s">
        <v>2057</v>
      </c>
      <c r="I356" s="325" t="s">
        <v>2586</v>
      </c>
      <c r="J356" s="328">
        <v>21</v>
      </c>
      <c r="K356" s="329">
        <v>2116</v>
      </c>
      <c r="L356" s="325" t="s">
        <v>2597</v>
      </c>
      <c r="M356" s="326" t="s">
        <v>226</v>
      </c>
      <c r="N356" s="326"/>
      <c r="O356" s="330">
        <v>512.63</v>
      </c>
      <c r="P356" s="330">
        <v>3.63</v>
      </c>
      <c r="Q356" s="331">
        <v>2116</v>
      </c>
      <c r="R356" s="330">
        <v>280000</v>
      </c>
      <c r="S356" s="330">
        <v>14000</v>
      </c>
      <c r="T356" s="326" t="s">
        <v>170</v>
      </c>
      <c r="U356" s="326" t="s">
        <v>2040</v>
      </c>
      <c r="V356" s="332"/>
      <c r="W356" s="333"/>
    </row>
    <row r="357" spans="1:23" ht="45" customHeight="1" x14ac:dyDescent="0.4">
      <c r="A357" s="323">
        <v>211254</v>
      </c>
      <c r="B357" s="324" t="s">
        <v>4434</v>
      </c>
      <c r="C357" s="325" t="s">
        <v>2615</v>
      </c>
      <c r="D357" s="326" t="s">
        <v>2084</v>
      </c>
      <c r="E357" s="327" t="s">
        <v>986</v>
      </c>
      <c r="F357" s="327"/>
      <c r="G357" s="327" t="s">
        <v>987</v>
      </c>
      <c r="H357" s="325" t="s">
        <v>2057</v>
      </c>
      <c r="I357" s="325" t="s">
        <v>2586</v>
      </c>
      <c r="J357" s="328">
        <v>21</v>
      </c>
      <c r="K357" s="329">
        <v>2116</v>
      </c>
      <c r="L357" s="325" t="s">
        <v>2597</v>
      </c>
      <c r="M357" s="326" t="s">
        <v>226</v>
      </c>
      <c r="N357" s="326"/>
      <c r="O357" s="330">
        <v>512.63</v>
      </c>
      <c r="P357" s="330">
        <v>3.63</v>
      </c>
      <c r="Q357" s="331">
        <v>2116</v>
      </c>
      <c r="R357" s="330">
        <v>280000</v>
      </c>
      <c r="S357" s="330">
        <v>14000</v>
      </c>
      <c r="T357" s="326" t="s">
        <v>170</v>
      </c>
      <c r="U357" s="326" t="s">
        <v>2040</v>
      </c>
      <c r="V357" s="332"/>
      <c r="W357" s="333"/>
    </row>
    <row r="358" spans="1:23" ht="45" customHeight="1" x14ac:dyDescent="0.4">
      <c r="A358" s="323">
        <v>211256</v>
      </c>
      <c r="B358" s="324" t="s">
        <v>4435</v>
      </c>
      <c r="C358" s="325" t="s">
        <v>2616</v>
      </c>
      <c r="D358" s="326" t="s">
        <v>2084</v>
      </c>
      <c r="E358" s="327" t="s">
        <v>988</v>
      </c>
      <c r="F358" s="327"/>
      <c r="G358" s="327" t="s">
        <v>989</v>
      </c>
      <c r="H358" s="325" t="s">
        <v>2057</v>
      </c>
      <c r="I358" s="325" t="s">
        <v>2586</v>
      </c>
      <c r="J358" s="328">
        <v>21</v>
      </c>
      <c r="K358" s="329">
        <v>2116</v>
      </c>
      <c r="L358" s="325" t="s">
        <v>2597</v>
      </c>
      <c r="M358" s="326" t="s">
        <v>226</v>
      </c>
      <c r="N358" s="326"/>
      <c r="O358" s="330">
        <v>512.63</v>
      </c>
      <c r="P358" s="330">
        <v>3.63</v>
      </c>
      <c r="Q358" s="331">
        <v>2116</v>
      </c>
      <c r="R358" s="330">
        <v>280000</v>
      </c>
      <c r="S358" s="330">
        <v>14000</v>
      </c>
      <c r="T358" s="326" t="s">
        <v>170</v>
      </c>
      <c r="U358" s="326" t="s">
        <v>2040</v>
      </c>
      <c r="V358" s="332"/>
      <c r="W358" s="333"/>
    </row>
    <row r="359" spans="1:23" ht="45" customHeight="1" x14ac:dyDescent="0.4">
      <c r="A359" s="323">
        <v>211271</v>
      </c>
      <c r="B359" s="324" t="s">
        <v>4436</v>
      </c>
      <c r="C359" s="325" t="s">
        <v>2617</v>
      </c>
      <c r="D359" s="326" t="s">
        <v>2084</v>
      </c>
      <c r="E359" s="327" t="s">
        <v>990</v>
      </c>
      <c r="F359" s="327"/>
      <c r="G359" s="327" t="s">
        <v>991</v>
      </c>
      <c r="H359" s="325" t="s">
        <v>2057</v>
      </c>
      <c r="I359" s="325" t="s">
        <v>2586</v>
      </c>
      <c r="J359" s="328">
        <v>21</v>
      </c>
      <c r="K359" s="329">
        <v>2116</v>
      </c>
      <c r="L359" s="325" t="s">
        <v>2597</v>
      </c>
      <c r="M359" s="326" t="s">
        <v>226</v>
      </c>
      <c r="N359" s="326"/>
      <c r="O359" s="330">
        <v>512.63</v>
      </c>
      <c r="P359" s="330">
        <v>3.63</v>
      </c>
      <c r="Q359" s="331">
        <v>2116</v>
      </c>
      <c r="R359" s="330">
        <v>280000</v>
      </c>
      <c r="S359" s="330">
        <v>14000</v>
      </c>
      <c r="T359" s="326" t="s">
        <v>170</v>
      </c>
      <c r="U359" s="326" t="s">
        <v>2040</v>
      </c>
      <c r="V359" s="332"/>
      <c r="W359" s="333"/>
    </row>
    <row r="360" spans="1:23" ht="45" customHeight="1" x14ac:dyDescent="0.4">
      <c r="A360" s="323">
        <v>211601</v>
      </c>
      <c r="B360" s="324" t="s">
        <v>4437</v>
      </c>
      <c r="C360" s="325" t="s">
        <v>2618</v>
      </c>
      <c r="D360" s="326" t="s">
        <v>2084</v>
      </c>
      <c r="E360" s="327" t="s">
        <v>992</v>
      </c>
      <c r="F360" s="327"/>
      <c r="G360" s="327" t="s">
        <v>993</v>
      </c>
      <c r="H360" s="325" t="s">
        <v>2057</v>
      </c>
      <c r="I360" s="325" t="s">
        <v>2586</v>
      </c>
      <c r="J360" s="328">
        <v>21</v>
      </c>
      <c r="K360" s="329">
        <v>2116</v>
      </c>
      <c r="L360" s="325" t="s">
        <v>2597</v>
      </c>
      <c r="M360" s="326" t="s">
        <v>226</v>
      </c>
      <c r="N360" s="326"/>
      <c r="O360" s="330">
        <v>512.63</v>
      </c>
      <c r="P360" s="330">
        <v>3.63</v>
      </c>
      <c r="Q360" s="331">
        <v>2116</v>
      </c>
      <c r="R360" s="330">
        <v>280000</v>
      </c>
      <c r="S360" s="330">
        <v>14000</v>
      </c>
      <c r="T360" s="326" t="s">
        <v>170</v>
      </c>
      <c r="U360" s="326" t="s">
        <v>2040</v>
      </c>
      <c r="V360" s="332"/>
      <c r="W360" s="333">
        <v>21196</v>
      </c>
    </row>
    <row r="361" spans="1:23" ht="45" customHeight="1" x14ac:dyDescent="0.4">
      <c r="A361" s="323">
        <v>212212</v>
      </c>
      <c r="B361" s="324" t="s">
        <v>4438</v>
      </c>
      <c r="C361" s="325" t="s">
        <v>2619</v>
      </c>
      <c r="D361" s="326" t="s">
        <v>2084</v>
      </c>
      <c r="E361" s="327" t="s">
        <v>994</v>
      </c>
      <c r="F361" s="327"/>
      <c r="G361" s="327" t="s">
        <v>995</v>
      </c>
      <c r="H361" s="325" t="s">
        <v>2078</v>
      </c>
      <c r="I361" s="325" t="s">
        <v>2620</v>
      </c>
      <c r="J361" s="328">
        <v>21</v>
      </c>
      <c r="K361" s="329">
        <v>2121</v>
      </c>
      <c r="L361" s="325" t="s">
        <v>2621</v>
      </c>
      <c r="M361" s="326" t="s">
        <v>226</v>
      </c>
      <c r="N361" s="326"/>
      <c r="O361" s="330">
        <v>351.02</v>
      </c>
      <c r="P361" s="330">
        <v>3.73</v>
      </c>
      <c r="Q361" s="331">
        <v>2121</v>
      </c>
      <c r="R361" s="330">
        <v>79000</v>
      </c>
      <c r="S361" s="330">
        <v>8000</v>
      </c>
      <c r="T361" s="326" t="s">
        <v>170</v>
      </c>
      <c r="U361" s="326" t="s">
        <v>2040</v>
      </c>
      <c r="V361" s="332"/>
      <c r="W361" s="333">
        <v>21230</v>
      </c>
    </row>
    <row r="362" spans="1:23" ht="45" customHeight="1" x14ac:dyDescent="0.4">
      <c r="A362" s="323">
        <v>212213</v>
      </c>
      <c r="B362" s="324" t="s">
        <v>4439</v>
      </c>
      <c r="C362" s="325" t="s">
        <v>2622</v>
      </c>
      <c r="D362" s="326" t="s">
        <v>2084</v>
      </c>
      <c r="E362" s="327" t="s">
        <v>4440</v>
      </c>
      <c r="F362" s="327"/>
      <c r="G362" s="327" t="s">
        <v>996</v>
      </c>
      <c r="H362" s="325" t="s">
        <v>2078</v>
      </c>
      <c r="I362" s="325" t="s">
        <v>2620</v>
      </c>
      <c r="J362" s="328">
        <v>21</v>
      </c>
      <c r="K362" s="329">
        <v>2121</v>
      </c>
      <c r="L362" s="325" t="s">
        <v>2621</v>
      </c>
      <c r="M362" s="326" t="s">
        <v>226</v>
      </c>
      <c r="N362" s="326"/>
      <c r="O362" s="330">
        <v>351.02</v>
      </c>
      <c r="P362" s="330">
        <v>3.73</v>
      </c>
      <c r="Q362" s="331">
        <v>2121</v>
      </c>
      <c r="R362" s="330">
        <v>79000</v>
      </c>
      <c r="S362" s="330">
        <v>8000</v>
      </c>
      <c r="T362" s="326" t="s">
        <v>170</v>
      </c>
      <c r="U362" s="326" t="s">
        <v>2040</v>
      </c>
      <c r="V362" s="332"/>
      <c r="W362" s="333" t="s">
        <v>2623</v>
      </c>
    </row>
    <row r="363" spans="1:23" ht="45" customHeight="1" x14ac:dyDescent="0.4">
      <c r="A363" s="323">
        <v>212215</v>
      </c>
      <c r="B363" s="324" t="s">
        <v>4441</v>
      </c>
      <c r="C363" s="325" t="s">
        <v>2624</v>
      </c>
      <c r="D363" s="326" t="s">
        <v>2084</v>
      </c>
      <c r="E363" s="327" t="s">
        <v>997</v>
      </c>
      <c r="F363" s="327"/>
      <c r="G363" s="327" t="s">
        <v>998</v>
      </c>
      <c r="H363" s="325" t="s">
        <v>2078</v>
      </c>
      <c r="I363" s="325" t="s">
        <v>2620</v>
      </c>
      <c r="J363" s="328">
        <v>21</v>
      </c>
      <c r="K363" s="329">
        <v>2121</v>
      </c>
      <c r="L363" s="325" t="s">
        <v>2621</v>
      </c>
      <c r="M363" s="326" t="s">
        <v>226</v>
      </c>
      <c r="N363" s="326"/>
      <c r="O363" s="330">
        <v>351.02</v>
      </c>
      <c r="P363" s="330">
        <v>3.73</v>
      </c>
      <c r="Q363" s="331">
        <v>2121</v>
      </c>
      <c r="R363" s="330">
        <v>79000</v>
      </c>
      <c r="S363" s="330">
        <v>8000</v>
      </c>
      <c r="T363" s="326" t="s">
        <v>170</v>
      </c>
      <c r="U363" s="326" t="s">
        <v>2040</v>
      </c>
      <c r="V363" s="332"/>
      <c r="W363" s="333" t="s">
        <v>2623</v>
      </c>
    </row>
    <row r="364" spans="1:23" ht="45" customHeight="1" x14ac:dyDescent="0.4">
      <c r="A364" s="323">
        <v>212216</v>
      </c>
      <c r="B364" s="324" t="s">
        <v>4442</v>
      </c>
      <c r="C364" s="325" t="s">
        <v>2625</v>
      </c>
      <c r="D364" s="326" t="s">
        <v>2084</v>
      </c>
      <c r="E364" s="327" t="s">
        <v>999</v>
      </c>
      <c r="F364" s="327"/>
      <c r="G364" s="327" t="s">
        <v>1000</v>
      </c>
      <c r="H364" s="325" t="s">
        <v>2078</v>
      </c>
      <c r="I364" s="325" t="s">
        <v>2620</v>
      </c>
      <c r="J364" s="328">
        <v>21</v>
      </c>
      <c r="K364" s="329">
        <v>2121</v>
      </c>
      <c r="L364" s="325" t="s">
        <v>2621</v>
      </c>
      <c r="M364" s="326" t="s">
        <v>226</v>
      </c>
      <c r="N364" s="326"/>
      <c r="O364" s="330">
        <v>351.02</v>
      </c>
      <c r="P364" s="330">
        <v>3.73</v>
      </c>
      <c r="Q364" s="331">
        <v>2121</v>
      </c>
      <c r="R364" s="330">
        <v>79000</v>
      </c>
      <c r="S364" s="330">
        <v>8000</v>
      </c>
      <c r="T364" s="326" t="s">
        <v>170</v>
      </c>
      <c r="U364" s="326" t="s">
        <v>2040</v>
      </c>
      <c r="V364" s="332"/>
      <c r="W364" s="333" t="s">
        <v>2623</v>
      </c>
    </row>
    <row r="365" spans="1:23" ht="45" customHeight="1" x14ac:dyDescent="0.4">
      <c r="A365" s="323">
        <v>212217</v>
      </c>
      <c r="B365" s="324" t="s">
        <v>4443</v>
      </c>
      <c r="C365" s="325" t="s">
        <v>2626</v>
      </c>
      <c r="D365" s="326" t="s">
        <v>2084</v>
      </c>
      <c r="E365" s="327" t="s">
        <v>1001</v>
      </c>
      <c r="F365" s="327"/>
      <c r="G365" s="327" t="s">
        <v>1002</v>
      </c>
      <c r="H365" s="325" t="s">
        <v>2078</v>
      </c>
      <c r="I365" s="325" t="s">
        <v>2620</v>
      </c>
      <c r="J365" s="328">
        <v>21</v>
      </c>
      <c r="K365" s="329">
        <v>2123</v>
      </c>
      <c r="L365" s="325" t="s">
        <v>2627</v>
      </c>
      <c r="M365" s="326" t="s">
        <v>226</v>
      </c>
      <c r="N365" s="326"/>
      <c r="O365" s="330">
        <v>307.97000000000003</v>
      </c>
      <c r="P365" s="330">
        <v>6.17</v>
      </c>
      <c r="Q365" s="331">
        <v>2123</v>
      </c>
      <c r="R365" s="330">
        <v>34000</v>
      </c>
      <c r="S365" s="330">
        <v>7600</v>
      </c>
      <c r="T365" s="326" t="s">
        <v>170</v>
      </c>
      <c r="U365" s="326" t="s">
        <v>2040</v>
      </c>
      <c r="V365" s="332"/>
      <c r="W365" s="333">
        <v>21220</v>
      </c>
    </row>
    <row r="366" spans="1:23" ht="45" customHeight="1" x14ac:dyDescent="0.4">
      <c r="A366" s="323">
        <v>212219</v>
      </c>
      <c r="B366" s="324" t="s">
        <v>4444</v>
      </c>
      <c r="C366" s="325" t="s">
        <v>2628</v>
      </c>
      <c r="D366" s="326" t="s">
        <v>2084</v>
      </c>
      <c r="E366" s="327" t="s">
        <v>4445</v>
      </c>
      <c r="F366" s="327"/>
      <c r="G366" s="327" t="s">
        <v>1003</v>
      </c>
      <c r="H366" s="325" t="s">
        <v>2078</v>
      </c>
      <c r="I366" s="325" t="s">
        <v>2620</v>
      </c>
      <c r="J366" s="328">
        <v>21</v>
      </c>
      <c r="K366" s="329">
        <v>2123</v>
      </c>
      <c r="L366" s="325" t="s">
        <v>2627</v>
      </c>
      <c r="M366" s="326" t="s">
        <v>226</v>
      </c>
      <c r="N366" s="326"/>
      <c r="O366" s="330">
        <v>307.97000000000003</v>
      </c>
      <c r="P366" s="330">
        <v>6.17</v>
      </c>
      <c r="Q366" s="331">
        <v>2123</v>
      </c>
      <c r="R366" s="330">
        <v>34000</v>
      </c>
      <c r="S366" s="330">
        <v>7600</v>
      </c>
      <c r="T366" s="326" t="s">
        <v>170</v>
      </c>
      <c r="U366" s="326" t="s">
        <v>2040</v>
      </c>
      <c r="V366" s="332"/>
      <c r="W366" s="333">
        <v>21220</v>
      </c>
    </row>
    <row r="367" spans="1:23" ht="45" customHeight="1" x14ac:dyDescent="0.4">
      <c r="A367" s="323">
        <v>212220</v>
      </c>
      <c r="B367" s="324" t="s">
        <v>4446</v>
      </c>
      <c r="C367" s="325" t="s">
        <v>2629</v>
      </c>
      <c r="D367" s="326" t="s">
        <v>2084</v>
      </c>
      <c r="E367" s="327" t="s">
        <v>1004</v>
      </c>
      <c r="F367" s="327"/>
      <c r="G367" s="327" t="s">
        <v>1005</v>
      </c>
      <c r="H367" s="325" t="s">
        <v>2078</v>
      </c>
      <c r="I367" s="325" t="s">
        <v>2620</v>
      </c>
      <c r="J367" s="328">
        <v>21</v>
      </c>
      <c r="K367" s="329">
        <v>2123</v>
      </c>
      <c r="L367" s="325" t="s">
        <v>2627</v>
      </c>
      <c r="M367" s="326" t="s">
        <v>226</v>
      </c>
      <c r="N367" s="326"/>
      <c r="O367" s="330">
        <v>307.97000000000003</v>
      </c>
      <c r="P367" s="330">
        <v>6.17</v>
      </c>
      <c r="Q367" s="331">
        <v>2123</v>
      </c>
      <c r="R367" s="330">
        <v>34000</v>
      </c>
      <c r="S367" s="330">
        <v>7600</v>
      </c>
      <c r="T367" s="326" t="s">
        <v>170</v>
      </c>
      <c r="U367" s="326" t="s">
        <v>2040</v>
      </c>
      <c r="V367" s="332"/>
      <c r="W367" s="333">
        <v>21220</v>
      </c>
    </row>
    <row r="368" spans="1:23" ht="45" customHeight="1" x14ac:dyDescent="0.4">
      <c r="A368" s="323">
        <v>212252</v>
      </c>
      <c r="B368" s="324" t="s">
        <v>4447</v>
      </c>
      <c r="C368" s="325" t="s">
        <v>2630</v>
      </c>
      <c r="D368" s="326" t="s">
        <v>2084</v>
      </c>
      <c r="E368" s="327" t="s">
        <v>1006</v>
      </c>
      <c r="F368" s="327"/>
      <c r="G368" s="327" t="s">
        <v>1007</v>
      </c>
      <c r="H368" s="325" t="s">
        <v>2631</v>
      </c>
      <c r="I368" s="325" t="s">
        <v>2632</v>
      </c>
      <c r="J368" s="328">
        <v>21</v>
      </c>
      <c r="K368" s="329">
        <v>2123</v>
      </c>
      <c r="L368" s="325" t="s">
        <v>2627</v>
      </c>
      <c r="M368" s="326" t="s">
        <v>226</v>
      </c>
      <c r="N368" s="326"/>
      <c r="O368" s="330">
        <v>307.97000000000003</v>
      </c>
      <c r="P368" s="330">
        <v>6.17</v>
      </c>
      <c r="Q368" s="331">
        <v>2123</v>
      </c>
      <c r="R368" s="330">
        <v>34000</v>
      </c>
      <c r="S368" s="330">
        <v>7600</v>
      </c>
      <c r="T368" s="326" t="s">
        <v>170</v>
      </c>
      <c r="U368" s="326" t="s">
        <v>2040</v>
      </c>
      <c r="V368" s="332"/>
      <c r="W368" s="333">
        <v>21220</v>
      </c>
    </row>
    <row r="369" spans="1:23" ht="45" customHeight="1" x14ac:dyDescent="0.4">
      <c r="A369" s="323">
        <v>213332</v>
      </c>
      <c r="B369" s="324" t="s">
        <v>4448</v>
      </c>
      <c r="C369" s="325" t="s">
        <v>2633</v>
      </c>
      <c r="D369" s="326" t="s">
        <v>2084</v>
      </c>
      <c r="E369" s="327" t="s">
        <v>1008</v>
      </c>
      <c r="F369" s="327"/>
      <c r="G369" s="327" t="s">
        <v>1009</v>
      </c>
      <c r="H369" s="325" t="s">
        <v>2035</v>
      </c>
      <c r="I369" s="325" t="s">
        <v>228</v>
      </c>
      <c r="J369" s="328">
        <v>15</v>
      </c>
      <c r="K369" s="329">
        <v>1552</v>
      </c>
      <c r="L369" s="325" t="s">
        <v>2634</v>
      </c>
      <c r="M369" s="326" t="s">
        <v>226</v>
      </c>
      <c r="N369" s="326"/>
      <c r="O369" s="330">
        <v>52.78</v>
      </c>
      <c r="P369" s="330">
        <v>2.08</v>
      </c>
      <c r="Q369" s="331">
        <v>1552</v>
      </c>
      <c r="R369" s="330">
        <v>19000</v>
      </c>
      <c r="S369" s="330">
        <v>4600</v>
      </c>
      <c r="T369" s="326" t="s">
        <v>170</v>
      </c>
      <c r="U369" s="326" t="s">
        <v>2040</v>
      </c>
      <c r="V369" s="332"/>
      <c r="W369" s="333">
        <v>15521</v>
      </c>
    </row>
    <row r="370" spans="1:23" ht="45" customHeight="1" x14ac:dyDescent="0.4">
      <c r="A370" s="323">
        <v>213363</v>
      </c>
      <c r="B370" s="324" t="s">
        <v>4449</v>
      </c>
      <c r="C370" s="325" t="s">
        <v>2635</v>
      </c>
      <c r="D370" s="326" t="s">
        <v>2084</v>
      </c>
      <c r="E370" s="327" t="s">
        <v>3722</v>
      </c>
      <c r="F370" s="327"/>
      <c r="G370" s="327" t="s">
        <v>1010</v>
      </c>
      <c r="H370" s="325" t="s">
        <v>2035</v>
      </c>
      <c r="I370" s="325" t="s">
        <v>228</v>
      </c>
      <c r="J370" s="328">
        <v>21</v>
      </c>
      <c r="K370" s="329">
        <v>2133</v>
      </c>
      <c r="L370" s="325" t="s">
        <v>2636</v>
      </c>
      <c r="M370" s="326" t="s">
        <v>226</v>
      </c>
      <c r="N370" s="326"/>
      <c r="O370" s="330">
        <v>495.33</v>
      </c>
      <c r="P370" s="330">
        <v>5.51</v>
      </c>
      <c r="Q370" s="331">
        <v>2133</v>
      </c>
      <c r="R370" s="330">
        <v>200000</v>
      </c>
      <c r="S370" s="330">
        <v>7900</v>
      </c>
      <c r="T370" s="326" t="s">
        <v>170</v>
      </c>
      <c r="U370" s="326" t="s">
        <v>2040</v>
      </c>
      <c r="V370" s="332">
        <v>21330</v>
      </c>
      <c r="W370" s="333" t="s">
        <v>2637</v>
      </c>
    </row>
    <row r="371" spans="1:23" ht="45" customHeight="1" x14ac:dyDescent="0.4">
      <c r="A371" s="323">
        <v>213436</v>
      </c>
      <c r="B371" s="324" t="s">
        <v>2639</v>
      </c>
      <c r="C371" s="325" t="s">
        <v>2638</v>
      </c>
      <c r="D371" s="326" t="s">
        <v>2045</v>
      </c>
      <c r="E371" s="327" t="s">
        <v>1011</v>
      </c>
      <c r="F371" s="327"/>
      <c r="G371" s="327" t="s">
        <v>1012</v>
      </c>
      <c r="H371" s="325" t="s">
        <v>2035</v>
      </c>
      <c r="I371" s="325" t="s">
        <v>228</v>
      </c>
      <c r="J371" s="328">
        <v>21</v>
      </c>
      <c r="K371" s="329">
        <v>2132</v>
      </c>
      <c r="L371" s="325" t="s">
        <v>2639</v>
      </c>
      <c r="M371" s="326" t="s">
        <v>2076</v>
      </c>
      <c r="N371" s="326"/>
      <c r="O371" s="330">
        <v>20461.47</v>
      </c>
      <c r="P371" s="330">
        <v>978.85</v>
      </c>
      <c r="Q371" s="331">
        <v>2132</v>
      </c>
      <c r="R371" s="330">
        <v>1</v>
      </c>
      <c r="S371" s="330">
        <v>1</v>
      </c>
      <c r="T371" s="326" t="s">
        <v>170</v>
      </c>
      <c r="U371" s="326" t="s">
        <v>2040</v>
      </c>
      <c r="V371" s="332">
        <v>21320</v>
      </c>
      <c r="W371" s="333">
        <v>21320</v>
      </c>
    </row>
    <row r="372" spans="1:23" ht="45" customHeight="1" x14ac:dyDescent="0.4">
      <c r="A372" s="323">
        <v>213499</v>
      </c>
      <c r="B372" s="324" t="s">
        <v>2641</v>
      </c>
      <c r="C372" s="325" t="s">
        <v>2640</v>
      </c>
      <c r="D372" s="326" t="s">
        <v>2084</v>
      </c>
      <c r="E372" s="327" t="s">
        <v>1013</v>
      </c>
      <c r="F372" s="327"/>
      <c r="G372" s="327" t="s">
        <v>1014</v>
      </c>
      <c r="H372" s="325" t="s">
        <v>228</v>
      </c>
      <c r="I372" s="325" t="s">
        <v>228</v>
      </c>
      <c r="J372" s="328">
        <v>21</v>
      </c>
      <c r="K372" s="329">
        <v>2134</v>
      </c>
      <c r="L372" s="325" t="s">
        <v>2641</v>
      </c>
      <c r="M372" s="326" t="s">
        <v>226</v>
      </c>
      <c r="N372" s="326"/>
      <c r="O372" s="330">
        <v>295.67</v>
      </c>
      <c r="P372" s="330">
        <v>5.59</v>
      </c>
      <c r="Q372" s="331">
        <v>2134</v>
      </c>
      <c r="R372" s="330">
        <v>130000</v>
      </c>
      <c r="S372" s="330">
        <v>11000</v>
      </c>
      <c r="T372" s="326" t="s">
        <v>170</v>
      </c>
      <c r="U372" s="326" t="s">
        <v>2040</v>
      </c>
      <c r="V372" s="332">
        <v>21335</v>
      </c>
      <c r="W372" s="333" t="s">
        <v>2642</v>
      </c>
    </row>
    <row r="373" spans="1:23" ht="45" customHeight="1" x14ac:dyDescent="0.4">
      <c r="A373" s="323">
        <v>213700</v>
      </c>
      <c r="B373" s="324" t="s">
        <v>4450</v>
      </c>
      <c r="C373" s="325" t="s">
        <v>2643</v>
      </c>
      <c r="D373" s="326" t="s">
        <v>2084</v>
      </c>
      <c r="E373" s="327" t="s">
        <v>4451</v>
      </c>
      <c r="F373" s="327"/>
      <c r="G373" s="327" t="s">
        <v>383</v>
      </c>
      <c r="H373" s="325" t="e">
        <v>#N/A</v>
      </c>
      <c r="I373" s="325" t="e">
        <v>#N/A</v>
      </c>
      <c r="J373" s="328">
        <v>21</v>
      </c>
      <c r="K373" s="329">
        <v>2134</v>
      </c>
      <c r="L373" s="325" t="s">
        <v>2641</v>
      </c>
      <c r="M373" s="326" t="s">
        <v>226</v>
      </c>
      <c r="N373" s="326"/>
      <c r="O373" s="330">
        <v>295.67</v>
      </c>
      <c r="P373" s="330">
        <v>5.59</v>
      </c>
      <c r="Q373" s="331">
        <v>2134</v>
      </c>
      <c r="R373" s="330">
        <v>130000</v>
      </c>
      <c r="S373" s="330">
        <v>11000</v>
      </c>
      <c r="T373" s="326" t="s">
        <v>170</v>
      </c>
      <c r="U373" s="326" t="s">
        <v>2040</v>
      </c>
      <c r="V373" s="332">
        <v>21332</v>
      </c>
      <c r="W373" s="333">
        <v>21370</v>
      </c>
    </row>
    <row r="374" spans="1:23" ht="45" customHeight="1" x14ac:dyDescent="0.4">
      <c r="A374" s="323">
        <v>214070</v>
      </c>
      <c r="B374" s="324" t="s">
        <v>4452</v>
      </c>
      <c r="C374" s="325" t="s">
        <v>3839</v>
      </c>
      <c r="D374" s="326" t="s">
        <v>2084</v>
      </c>
      <c r="E374" s="327" t="s">
        <v>4453</v>
      </c>
      <c r="F374" s="327"/>
      <c r="G374" s="327" t="s">
        <v>383</v>
      </c>
      <c r="H374" s="325"/>
      <c r="I374" s="325"/>
      <c r="J374" s="328">
        <v>21</v>
      </c>
      <c r="K374" s="329">
        <v>2143</v>
      </c>
      <c r="L374" s="325" t="s">
        <v>3840</v>
      </c>
      <c r="M374" s="326" t="s">
        <v>226</v>
      </c>
      <c r="N374" s="326"/>
      <c r="O374" s="330">
        <v>810</v>
      </c>
      <c r="P374" s="330">
        <v>5.07</v>
      </c>
      <c r="Q374" s="331">
        <v>2143</v>
      </c>
      <c r="R374" s="330">
        <v>150000</v>
      </c>
      <c r="S374" s="330">
        <v>22000</v>
      </c>
      <c r="T374" s="326" t="s">
        <v>170</v>
      </c>
      <c r="U374" s="326" t="s">
        <v>2040</v>
      </c>
      <c r="V374" s="332"/>
      <c r="W374" s="333"/>
    </row>
    <row r="375" spans="1:23" ht="45" customHeight="1" x14ac:dyDescent="0.4">
      <c r="A375" s="323">
        <v>214090</v>
      </c>
      <c r="B375" s="324" t="s">
        <v>4454</v>
      </c>
      <c r="C375" s="325" t="s">
        <v>3841</v>
      </c>
      <c r="D375" s="326" t="s">
        <v>2084</v>
      </c>
      <c r="E375" s="327" t="s">
        <v>4455</v>
      </c>
      <c r="F375" s="327"/>
      <c r="G375" s="327" t="s">
        <v>383</v>
      </c>
      <c r="H375" s="325"/>
      <c r="I375" s="325"/>
      <c r="J375" s="328">
        <v>21</v>
      </c>
      <c r="K375" s="329">
        <v>2144</v>
      </c>
      <c r="L375" s="325" t="s">
        <v>3842</v>
      </c>
      <c r="M375" s="326" t="s">
        <v>226</v>
      </c>
      <c r="N375" s="326"/>
      <c r="O375" s="330">
        <v>810</v>
      </c>
      <c r="P375" s="330">
        <v>5.43</v>
      </c>
      <c r="Q375" s="331">
        <v>2144</v>
      </c>
      <c r="R375" s="330">
        <v>52000</v>
      </c>
      <c r="S375" s="330">
        <v>9700</v>
      </c>
      <c r="T375" s="326" t="s">
        <v>170</v>
      </c>
      <c r="U375" s="326" t="s">
        <v>2040</v>
      </c>
      <c r="V375" s="332"/>
      <c r="W375" s="333"/>
    </row>
    <row r="376" spans="1:23" ht="45" customHeight="1" x14ac:dyDescent="0.4">
      <c r="A376" s="323">
        <v>214400</v>
      </c>
      <c r="B376" s="324" t="s">
        <v>4456</v>
      </c>
      <c r="C376" s="325" t="s">
        <v>3843</v>
      </c>
      <c r="D376" s="326" t="s">
        <v>2045</v>
      </c>
      <c r="E376" s="327" t="s">
        <v>4457</v>
      </c>
      <c r="F376" s="327"/>
      <c r="G376" s="327" t="s">
        <v>383</v>
      </c>
      <c r="H376" s="325"/>
      <c r="I376" s="325"/>
      <c r="J376" s="328">
        <v>21</v>
      </c>
      <c r="K376" s="329">
        <v>2185</v>
      </c>
      <c r="L376" s="325" t="s">
        <v>3844</v>
      </c>
      <c r="M376" s="326" t="s">
        <v>226</v>
      </c>
      <c r="N376" s="326"/>
      <c r="O376" s="330">
        <v>692.45</v>
      </c>
      <c r="P376" s="330">
        <v>0.91</v>
      </c>
      <c r="Q376" s="331">
        <v>2185</v>
      </c>
      <c r="R376" s="330">
        <v>23000</v>
      </c>
      <c r="S376" s="330">
        <v>5400</v>
      </c>
      <c r="T376" s="326" t="s">
        <v>170</v>
      </c>
      <c r="U376" s="326" t="s">
        <v>2040</v>
      </c>
      <c r="V376" s="332"/>
      <c r="W376" s="333"/>
    </row>
    <row r="377" spans="1:23" ht="45" customHeight="1" x14ac:dyDescent="0.4">
      <c r="A377" s="323">
        <v>214410</v>
      </c>
      <c r="B377" s="324" t="s">
        <v>3846</v>
      </c>
      <c r="C377" s="325" t="s">
        <v>3845</v>
      </c>
      <c r="D377" s="326" t="s">
        <v>2045</v>
      </c>
      <c r="E377" s="327" t="s">
        <v>4458</v>
      </c>
      <c r="F377" s="327"/>
      <c r="G377" s="327" t="s">
        <v>383</v>
      </c>
      <c r="H377" s="325"/>
      <c r="I377" s="325"/>
      <c r="J377" s="328">
        <v>21</v>
      </c>
      <c r="K377" s="329">
        <v>2147</v>
      </c>
      <c r="L377" s="325" t="s">
        <v>3846</v>
      </c>
      <c r="M377" s="326" t="s">
        <v>226</v>
      </c>
      <c r="N377" s="326"/>
      <c r="O377" s="330">
        <v>656.71</v>
      </c>
      <c r="P377" s="330">
        <v>0.44</v>
      </c>
      <c r="Q377" s="331">
        <v>2147</v>
      </c>
      <c r="R377" s="330">
        <v>18000</v>
      </c>
      <c r="S377" s="330">
        <v>16000</v>
      </c>
      <c r="T377" s="326" t="s">
        <v>170</v>
      </c>
      <c r="U377" s="326" t="s">
        <v>2040</v>
      </c>
      <c r="V377" s="332"/>
      <c r="W377" s="333"/>
    </row>
    <row r="378" spans="1:23" ht="45" customHeight="1" x14ac:dyDescent="0.4">
      <c r="A378" s="323">
        <v>214422</v>
      </c>
      <c r="B378" s="324" t="s">
        <v>4459</v>
      </c>
      <c r="C378" s="325" t="s">
        <v>2644</v>
      </c>
      <c r="D378" s="326" t="s">
        <v>2045</v>
      </c>
      <c r="E378" s="327" t="s">
        <v>4460</v>
      </c>
      <c r="F378" s="327"/>
      <c r="G378" s="327" t="s">
        <v>1015</v>
      </c>
      <c r="H378" s="325" t="s">
        <v>2085</v>
      </c>
      <c r="I378" s="325" t="s">
        <v>228</v>
      </c>
      <c r="J378" s="328">
        <v>21</v>
      </c>
      <c r="K378" s="329">
        <v>2145</v>
      </c>
      <c r="L378" s="325" t="s">
        <v>2645</v>
      </c>
      <c r="M378" s="326" t="s">
        <v>2076</v>
      </c>
      <c r="N378" s="326"/>
      <c r="O378" s="330">
        <v>203931.57</v>
      </c>
      <c r="P378" s="330">
        <v>3013.56</v>
      </c>
      <c r="Q378" s="331">
        <v>2145</v>
      </c>
      <c r="R378" s="330">
        <v>23</v>
      </c>
      <c r="S378" s="330">
        <v>1</v>
      </c>
      <c r="T378" s="326" t="s">
        <v>170</v>
      </c>
      <c r="U378" s="326" t="s">
        <v>2040</v>
      </c>
      <c r="V378" s="332">
        <v>14955</v>
      </c>
      <c r="W378" s="333" t="s">
        <v>2646</v>
      </c>
    </row>
    <row r="379" spans="1:23" ht="45" customHeight="1" x14ac:dyDescent="0.4">
      <c r="A379" s="323">
        <v>214425</v>
      </c>
      <c r="B379" s="324" t="s">
        <v>2648</v>
      </c>
      <c r="C379" s="325" t="s">
        <v>2647</v>
      </c>
      <c r="D379" s="326" t="s">
        <v>2084</v>
      </c>
      <c r="E379" s="327" t="s">
        <v>1016</v>
      </c>
      <c r="F379" s="327"/>
      <c r="G379" s="327" t="s">
        <v>1017</v>
      </c>
      <c r="H379" s="325" t="s">
        <v>2085</v>
      </c>
      <c r="I379" s="325" t="s">
        <v>228</v>
      </c>
      <c r="J379" s="328">
        <v>21</v>
      </c>
      <c r="K379" s="329">
        <v>2141</v>
      </c>
      <c r="L379" s="325" t="s">
        <v>2648</v>
      </c>
      <c r="M379" s="326" t="s">
        <v>226</v>
      </c>
      <c r="N379" s="326"/>
      <c r="O379" s="330">
        <v>810</v>
      </c>
      <c r="P379" s="330">
        <v>5.83</v>
      </c>
      <c r="Q379" s="331">
        <v>2141</v>
      </c>
      <c r="R379" s="330">
        <v>210000</v>
      </c>
      <c r="S379" s="330">
        <v>10000</v>
      </c>
      <c r="T379" s="326" t="s">
        <v>170</v>
      </c>
      <c r="U379" s="326" t="s">
        <v>2040</v>
      </c>
      <c r="V379" s="332">
        <v>21410</v>
      </c>
      <c r="W379" s="333" t="s">
        <v>2649</v>
      </c>
    </row>
    <row r="380" spans="1:23" ht="45" customHeight="1" x14ac:dyDescent="0.4">
      <c r="A380" s="323">
        <v>214426</v>
      </c>
      <c r="B380" s="324" t="s">
        <v>4461</v>
      </c>
      <c r="C380" s="325" t="s">
        <v>4462</v>
      </c>
      <c r="D380" s="326" t="s">
        <v>2084</v>
      </c>
      <c r="E380" s="327" t="s">
        <v>4463</v>
      </c>
      <c r="F380" s="327"/>
      <c r="G380" s="327" t="s">
        <v>1018</v>
      </c>
      <c r="H380" s="325" t="s">
        <v>2085</v>
      </c>
      <c r="I380" s="325" t="s">
        <v>2035</v>
      </c>
      <c r="J380" s="328">
        <v>44</v>
      </c>
      <c r="K380" s="329">
        <v>4425</v>
      </c>
      <c r="L380" s="325" t="s">
        <v>2650</v>
      </c>
      <c r="M380" s="326" t="s">
        <v>226</v>
      </c>
      <c r="N380" s="326"/>
      <c r="O380" s="330">
        <v>131.09</v>
      </c>
      <c r="P380" s="330">
        <v>0.97</v>
      </c>
      <c r="Q380" s="331">
        <v>4425</v>
      </c>
      <c r="R380" s="330">
        <v>59000</v>
      </c>
      <c r="S380" s="330">
        <v>7700</v>
      </c>
      <c r="T380" s="326" t="s">
        <v>170</v>
      </c>
      <c r="U380" s="326" t="s">
        <v>2040</v>
      </c>
      <c r="V380" s="332">
        <v>44263</v>
      </c>
      <c r="W380" s="333" t="s">
        <v>228</v>
      </c>
    </row>
    <row r="381" spans="1:23" ht="45" customHeight="1" x14ac:dyDescent="0.4">
      <c r="A381" s="323">
        <v>214428</v>
      </c>
      <c r="B381" s="324" t="s">
        <v>4464</v>
      </c>
      <c r="C381" s="325" t="s">
        <v>2651</v>
      </c>
      <c r="D381" s="326" t="s">
        <v>2045</v>
      </c>
      <c r="E381" s="327" t="s">
        <v>3723</v>
      </c>
      <c r="F381" s="327" t="s">
        <v>4465</v>
      </c>
      <c r="G381" s="327" t="s">
        <v>1019</v>
      </c>
      <c r="H381" s="325" t="s">
        <v>2085</v>
      </c>
      <c r="I381" s="325" t="s">
        <v>2035</v>
      </c>
      <c r="J381" s="328">
        <v>44</v>
      </c>
      <c r="K381" s="329">
        <v>4422</v>
      </c>
      <c r="L381" s="325" t="s">
        <v>2353</v>
      </c>
      <c r="M381" s="326" t="s">
        <v>226</v>
      </c>
      <c r="N381" s="326" t="s">
        <v>2602</v>
      </c>
      <c r="O381" s="330">
        <v>195.5</v>
      </c>
      <c r="P381" s="330">
        <v>1.49</v>
      </c>
      <c r="Q381" s="331">
        <v>4422</v>
      </c>
      <c r="R381" s="330">
        <v>400000</v>
      </c>
      <c r="S381" s="330">
        <v>5500</v>
      </c>
      <c r="T381" s="326" t="s">
        <v>170</v>
      </c>
      <c r="U381" s="326" t="s">
        <v>2040</v>
      </c>
      <c r="V381" s="332">
        <v>44262</v>
      </c>
      <c r="W381" s="333" t="s">
        <v>228</v>
      </c>
    </row>
    <row r="382" spans="1:23" ht="45" customHeight="1" x14ac:dyDescent="0.4">
      <c r="A382" s="323">
        <v>214429</v>
      </c>
      <c r="B382" s="324" t="s">
        <v>4466</v>
      </c>
      <c r="C382" s="325" t="s">
        <v>2652</v>
      </c>
      <c r="D382" s="326" t="s">
        <v>2084</v>
      </c>
      <c r="E382" s="327" t="s">
        <v>1020</v>
      </c>
      <c r="F382" s="327"/>
      <c r="G382" s="327" t="s">
        <v>1021</v>
      </c>
      <c r="H382" s="325" t="s">
        <v>2085</v>
      </c>
      <c r="I382" s="325" t="s">
        <v>2035</v>
      </c>
      <c r="J382" s="328">
        <v>21</v>
      </c>
      <c r="K382" s="329">
        <v>2141</v>
      </c>
      <c r="L382" s="325" t="s">
        <v>2648</v>
      </c>
      <c r="M382" s="326" t="s">
        <v>226</v>
      </c>
      <c r="N382" s="326"/>
      <c r="O382" s="330">
        <v>810</v>
      </c>
      <c r="P382" s="330">
        <v>5.83</v>
      </c>
      <c r="Q382" s="331">
        <v>2141</v>
      </c>
      <c r="R382" s="330">
        <v>210000</v>
      </c>
      <c r="S382" s="330">
        <v>10000</v>
      </c>
      <c r="T382" s="326" t="s">
        <v>170</v>
      </c>
      <c r="U382" s="326" t="s">
        <v>2040</v>
      </c>
      <c r="V382" s="332"/>
      <c r="W382" s="333"/>
    </row>
    <row r="383" spans="1:23" ht="45" customHeight="1" x14ac:dyDescent="0.4">
      <c r="A383" s="323">
        <v>214467</v>
      </c>
      <c r="B383" s="324" t="s">
        <v>4467</v>
      </c>
      <c r="C383" s="325" t="s">
        <v>2653</v>
      </c>
      <c r="D383" s="326" t="s">
        <v>2084</v>
      </c>
      <c r="E383" s="327" t="s">
        <v>1022</v>
      </c>
      <c r="F383" s="327"/>
      <c r="G383" s="327" t="s">
        <v>1023</v>
      </c>
      <c r="H383" s="325" t="s">
        <v>2085</v>
      </c>
      <c r="I383" s="325" t="s">
        <v>2035</v>
      </c>
      <c r="J383" s="328">
        <v>21</v>
      </c>
      <c r="K383" s="329">
        <v>2141</v>
      </c>
      <c r="L383" s="325" t="s">
        <v>2648</v>
      </c>
      <c r="M383" s="326" t="s">
        <v>226</v>
      </c>
      <c r="N383" s="326"/>
      <c r="O383" s="330">
        <v>810</v>
      </c>
      <c r="P383" s="330">
        <v>5.83</v>
      </c>
      <c r="Q383" s="331">
        <v>2141</v>
      </c>
      <c r="R383" s="330">
        <v>210000</v>
      </c>
      <c r="S383" s="330">
        <v>10000</v>
      </c>
      <c r="T383" s="326" t="s">
        <v>170</v>
      </c>
      <c r="U383" s="326" t="s">
        <v>2040</v>
      </c>
      <c r="V383" s="332">
        <v>21410</v>
      </c>
      <c r="W383" s="333">
        <v>21430</v>
      </c>
    </row>
    <row r="384" spans="1:23" ht="45" customHeight="1" x14ac:dyDescent="0.4">
      <c r="A384" s="323">
        <v>214469</v>
      </c>
      <c r="B384" s="324" t="s">
        <v>4468</v>
      </c>
      <c r="C384" s="325" t="s">
        <v>2654</v>
      </c>
      <c r="D384" s="326" t="s">
        <v>2045</v>
      </c>
      <c r="E384" s="327" t="s">
        <v>1024</v>
      </c>
      <c r="F384" s="327"/>
      <c r="G384" s="327" t="s">
        <v>1025</v>
      </c>
      <c r="H384" s="325" t="s">
        <v>2078</v>
      </c>
      <c r="I384" s="325" t="s">
        <v>2655</v>
      </c>
      <c r="J384" s="328">
        <v>21</v>
      </c>
      <c r="K384" s="329">
        <v>2146</v>
      </c>
      <c r="L384" s="325" t="s">
        <v>2656</v>
      </c>
      <c r="M384" s="326" t="s">
        <v>2076</v>
      </c>
      <c r="N384" s="326"/>
      <c r="O384" s="330">
        <v>28795105.850000001</v>
      </c>
      <c r="P384" s="330">
        <v>9439.8700000000008</v>
      </c>
      <c r="Q384" s="331">
        <v>2146</v>
      </c>
      <c r="R384" s="330">
        <v>1</v>
      </c>
      <c r="S384" s="330">
        <v>1</v>
      </c>
      <c r="T384" s="326" t="s">
        <v>170</v>
      </c>
      <c r="U384" s="326" t="s">
        <v>2040</v>
      </c>
      <c r="V384" s="332"/>
      <c r="W384" s="333"/>
    </row>
    <row r="385" spans="1:23" ht="45" customHeight="1" x14ac:dyDescent="0.4">
      <c r="A385" s="323">
        <v>215552</v>
      </c>
      <c r="B385" s="324" t="s">
        <v>4469</v>
      </c>
      <c r="C385" s="325" t="s">
        <v>2657</v>
      </c>
      <c r="D385" s="326" t="s">
        <v>2084</v>
      </c>
      <c r="E385" s="327" t="s">
        <v>1026</v>
      </c>
      <c r="F385" s="327"/>
      <c r="G385" s="327" t="s">
        <v>1027</v>
      </c>
      <c r="H385" s="325" t="s">
        <v>2078</v>
      </c>
      <c r="I385" s="325" t="s">
        <v>2620</v>
      </c>
      <c r="J385" s="328">
        <v>21</v>
      </c>
      <c r="K385" s="329">
        <v>2151</v>
      </c>
      <c r="L385" s="325" t="s">
        <v>2658</v>
      </c>
      <c r="M385" s="326" t="s">
        <v>226</v>
      </c>
      <c r="N385" s="326"/>
      <c r="O385" s="330">
        <v>495.33</v>
      </c>
      <c r="P385" s="330">
        <v>3.78</v>
      </c>
      <c r="Q385" s="331">
        <v>2151</v>
      </c>
      <c r="R385" s="330">
        <v>38000</v>
      </c>
      <c r="S385" s="330">
        <v>9900</v>
      </c>
      <c r="T385" s="326" t="s">
        <v>170</v>
      </c>
      <c r="U385" s="326" t="s">
        <v>2040</v>
      </c>
      <c r="V385" s="332"/>
      <c r="W385" s="333">
        <v>21560</v>
      </c>
    </row>
    <row r="386" spans="1:23" ht="45" customHeight="1" x14ac:dyDescent="0.4">
      <c r="A386" s="323">
        <v>215553</v>
      </c>
      <c r="B386" s="324" t="s">
        <v>4470</v>
      </c>
      <c r="C386" s="325" t="s">
        <v>2659</v>
      </c>
      <c r="D386" s="326" t="s">
        <v>2084</v>
      </c>
      <c r="E386" s="327" t="s">
        <v>1028</v>
      </c>
      <c r="F386" s="327"/>
      <c r="G386" s="327" t="s">
        <v>1029</v>
      </c>
      <c r="H386" s="325" t="s">
        <v>2078</v>
      </c>
      <c r="I386" s="325" t="s">
        <v>2660</v>
      </c>
      <c r="J386" s="328">
        <v>21</v>
      </c>
      <c r="K386" s="329">
        <v>2152</v>
      </c>
      <c r="L386" s="325" t="s">
        <v>2661</v>
      </c>
      <c r="M386" s="326" t="s">
        <v>226</v>
      </c>
      <c r="N386" s="326"/>
      <c r="O386" s="330">
        <v>477.96</v>
      </c>
      <c r="P386" s="330">
        <v>3.39</v>
      </c>
      <c r="Q386" s="331">
        <v>2152</v>
      </c>
      <c r="R386" s="330">
        <v>35000</v>
      </c>
      <c r="S386" s="330">
        <v>8700</v>
      </c>
      <c r="T386" s="326" t="s">
        <v>170</v>
      </c>
      <c r="U386" s="326" t="s">
        <v>2040</v>
      </c>
      <c r="V386" s="332">
        <v>21510</v>
      </c>
      <c r="W386" s="333"/>
    </row>
    <row r="387" spans="1:23" ht="45" customHeight="1" x14ac:dyDescent="0.4">
      <c r="A387" s="323">
        <v>215554</v>
      </c>
      <c r="B387" s="324" t="s">
        <v>4471</v>
      </c>
      <c r="C387" s="325" t="s">
        <v>2662</v>
      </c>
      <c r="D387" s="326" t="s">
        <v>2084</v>
      </c>
      <c r="E387" s="327" t="s">
        <v>1030</v>
      </c>
      <c r="F387" s="327"/>
      <c r="G387" s="327" t="s">
        <v>1031</v>
      </c>
      <c r="H387" s="325" t="s">
        <v>2078</v>
      </c>
      <c r="I387" s="325" t="s">
        <v>2660</v>
      </c>
      <c r="J387" s="328">
        <v>21</v>
      </c>
      <c r="K387" s="329">
        <v>2152</v>
      </c>
      <c r="L387" s="325" t="s">
        <v>2661</v>
      </c>
      <c r="M387" s="326" t="s">
        <v>226</v>
      </c>
      <c r="N387" s="326"/>
      <c r="O387" s="330">
        <v>477.96</v>
      </c>
      <c r="P387" s="330">
        <v>3.39</v>
      </c>
      <c r="Q387" s="331">
        <v>2152</v>
      </c>
      <c r="R387" s="330">
        <v>35000</v>
      </c>
      <c r="S387" s="330">
        <v>8700</v>
      </c>
      <c r="T387" s="326" t="s">
        <v>170</v>
      </c>
      <c r="U387" s="326" t="s">
        <v>2040</v>
      </c>
      <c r="V387" s="332">
        <v>21510</v>
      </c>
      <c r="W387" s="333">
        <v>21510</v>
      </c>
    </row>
    <row r="388" spans="1:23" ht="45" customHeight="1" x14ac:dyDescent="0.4">
      <c r="A388" s="323">
        <v>215555</v>
      </c>
      <c r="B388" s="324" t="s">
        <v>4472</v>
      </c>
      <c r="C388" s="325" t="s">
        <v>2663</v>
      </c>
      <c r="D388" s="326" t="s">
        <v>2084</v>
      </c>
      <c r="E388" s="327" t="s">
        <v>1032</v>
      </c>
      <c r="F388" s="327"/>
      <c r="G388" s="327" t="s">
        <v>1033</v>
      </c>
      <c r="H388" s="325" t="s">
        <v>2078</v>
      </c>
      <c r="I388" s="325" t="s">
        <v>2660</v>
      </c>
      <c r="J388" s="328">
        <v>21</v>
      </c>
      <c r="K388" s="329">
        <v>2152</v>
      </c>
      <c r="L388" s="325" t="s">
        <v>2661</v>
      </c>
      <c r="M388" s="326" t="s">
        <v>226</v>
      </c>
      <c r="N388" s="326"/>
      <c r="O388" s="330">
        <v>477.96</v>
      </c>
      <c r="P388" s="330">
        <v>3.39</v>
      </c>
      <c r="Q388" s="331">
        <v>2152</v>
      </c>
      <c r="R388" s="330">
        <v>35000</v>
      </c>
      <c r="S388" s="330">
        <v>8700</v>
      </c>
      <c r="T388" s="326" t="s">
        <v>170</v>
      </c>
      <c r="U388" s="326" t="s">
        <v>2040</v>
      </c>
      <c r="V388" s="332">
        <v>21510</v>
      </c>
      <c r="W388" s="333"/>
    </row>
    <row r="389" spans="1:23" ht="45" customHeight="1" x14ac:dyDescent="0.4">
      <c r="A389" s="323">
        <v>215582</v>
      </c>
      <c r="B389" s="324" t="s">
        <v>4473</v>
      </c>
      <c r="C389" s="325" t="s">
        <v>2664</v>
      </c>
      <c r="D389" s="326" t="s">
        <v>2084</v>
      </c>
      <c r="E389" s="327" t="s">
        <v>4474</v>
      </c>
      <c r="F389" s="327"/>
      <c r="G389" s="327" t="s">
        <v>1034</v>
      </c>
      <c r="H389" s="325" t="s">
        <v>2078</v>
      </c>
      <c r="I389" s="325" t="s">
        <v>2620</v>
      </c>
      <c r="J389" s="328">
        <v>21</v>
      </c>
      <c r="K389" s="329">
        <v>2153</v>
      </c>
      <c r="L389" s="325" t="s">
        <v>2665</v>
      </c>
      <c r="M389" s="326" t="s">
        <v>226</v>
      </c>
      <c r="N389" s="326"/>
      <c r="O389" s="330">
        <v>351.02</v>
      </c>
      <c r="P389" s="330">
        <v>4.05</v>
      </c>
      <c r="Q389" s="331">
        <v>2153</v>
      </c>
      <c r="R389" s="330">
        <v>16000</v>
      </c>
      <c r="S389" s="330">
        <v>5600</v>
      </c>
      <c r="T389" s="326" t="s">
        <v>170</v>
      </c>
      <c r="U389" s="326" t="s">
        <v>2040</v>
      </c>
      <c r="V389" s="332">
        <v>21540</v>
      </c>
      <c r="W389" s="333">
        <v>21650</v>
      </c>
    </row>
    <row r="390" spans="1:23" ht="45" customHeight="1" x14ac:dyDescent="0.4">
      <c r="A390" s="323">
        <v>216642</v>
      </c>
      <c r="B390" s="324" t="s">
        <v>4475</v>
      </c>
      <c r="C390" s="325" t="s">
        <v>2666</v>
      </c>
      <c r="D390" s="326" t="s">
        <v>2084</v>
      </c>
      <c r="E390" s="327" t="s">
        <v>4476</v>
      </c>
      <c r="F390" s="327"/>
      <c r="G390" s="327" t="s">
        <v>3724</v>
      </c>
      <c r="H390" s="325" t="s">
        <v>2078</v>
      </c>
      <c r="I390" s="325" t="s">
        <v>2620</v>
      </c>
      <c r="J390" s="328">
        <v>21</v>
      </c>
      <c r="K390" s="329">
        <v>2162</v>
      </c>
      <c r="L390" s="325" t="s">
        <v>2667</v>
      </c>
      <c r="M390" s="326" t="s">
        <v>226</v>
      </c>
      <c r="N390" s="326"/>
      <c r="O390" s="330">
        <v>335.07</v>
      </c>
      <c r="P390" s="330">
        <v>6.4</v>
      </c>
      <c r="Q390" s="331">
        <v>2162</v>
      </c>
      <c r="R390" s="330">
        <v>83000</v>
      </c>
      <c r="S390" s="330">
        <v>5800</v>
      </c>
      <c r="T390" s="326" t="s">
        <v>170</v>
      </c>
      <c r="U390" s="326" t="s">
        <v>2040</v>
      </c>
      <c r="V390" s="332" t="s">
        <v>2668</v>
      </c>
      <c r="W390" s="333" t="s">
        <v>2669</v>
      </c>
    </row>
    <row r="391" spans="1:23" ht="45" customHeight="1" x14ac:dyDescent="0.4">
      <c r="A391" s="323">
        <v>217200</v>
      </c>
      <c r="B391" s="324" t="s">
        <v>4477</v>
      </c>
      <c r="C391" s="325" t="s">
        <v>3725</v>
      </c>
      <c r="D391" s="326" t="s">
        <v>2045</v>
      </c>
      <c r="E391" s="327" t="s">
        <v>4478</v>
      </c>
      <c r="F391" s="327"/>
      <c r="G391" s="327" t="s">
        <v>383</v>
      </c>
      <c r="H391" s="325"/>
      <c r="I391" s="325"/>
      <c r="J391" s="328">
        <v>21</v>
      </c>
      <c r="K391" s="329">
        <v>2173</v>
      </c>
      <c r="L391" s="325" t="s">
        <v>3847</v>
      </c>
      <c r="M391" s="326" t="s">
        <v>2076</v>
      </c>
      <c r="N391" s="326"/>
      <c r="O391" s="330">
        <v>145250.79999999999</v>
      </c>
      <c r="P391" s="330">
        <v>14233.84</v>
      </c>
      <c r="Q391" s="331">
        <v>2173</v>
      </c>
      <c r="R391" s="330">
        <v>1</v>
      </c>
      <c r="S391" s="330">
        <v>1</v>
      </c>
      <c r="T391" s="326" t="s">
        <v>170</v>
      </c>
      <c r="U391" s="326" t="s">
        <v>2040</v>
      </c>
      <c r="V391" s="332"/>
      <c r="W391" s="333"/>
    </row>
    <row r="392" spans="1:23" ht="45" customHeight="1" x14ac:dyDescent="0.4">
      <c r="A392" s="323">
        <v>217712</v>
      </c>
      <c r="B392" s="324" t="s">
        <v>4479</v>
      </c>
      <c r="C392" s="325" t="s">
        <v>2670</v>
      </c>
      <c r="D392" s="326" t="s">
        <v>2084</v>
      </c>
      <c r="E392" s="327" t="s">
        <v>3727</v>
      </c>
      <c r="F392" s="327"/>
      <c r="G392" s="327" t="s">
        <v>3726</v>
      </c>
      <c r="H392" s="325" t="s">
        <v>2057</v>
      </c>
      <c r="I392" s="325" t="s">
        <v>2671</v>
      </c>
      <c r="J392" s="328">
        <v>21</v>
      </c>
      <c r="K392" s="329">
        <v>2171</v>
      </c>
      <c r="L392" s="325" t="s">
        <v>2672</v>
      </c>
      <c r="M392" s="326" t="s">
        <v>226</v>
      </c>
      <c r="N392" s="326"/>
      <c r="O392" s="330">
        <v>232.17</v>
      </c>
      <c r="P392" s="330">
        <v>5.01</v>
      </c>
      <c r="Q392" s="331">
        <v>2171</v>
      </c>
      <c r="R392" s="330">
        <v>72000</v>
      </c>
      <c r="S392" s="330">
        <v>7200</v>
      </c>
      <c r="T392" s="326" t="s">
        <v>170</v>
      </c>
      <c r="U392" s="326" t="s">
        <v>2040</v>
      </c>
      <c r="V392" s="332"/>
      <c r="W392" s="333"/>
    </row>
    <row r="393" spans="1:23" ht="45" customHeight="1" x14ac:dyDescent="0.4">
      <c r="A393" s="323">
        <v>217713</v>
      </c>
      <c r="B393" s="324" t="s">
        <v>4480</v>
      </c>
      <c r="C393" s="325" t="s">
        <v>2673</v>
      </c>
      <c r="D393" s="326" t="s">
        <v>2084</v>
      </c>
      <c r="E393" s="327" t="s">
        <v>1035</v>
      </c>
      <c r="F393" s="327"/>
      <c r="G393" s="327" t="s">
        <v>1036</v>
      </c>
      <c r="H393" s="325" t="s">
        <v>2057</v>
      </c>
      <c r="I393" s="325" t="s">
        <v>2674</v>
      </c>
      <c r="J393" s="328">
        <v>21</v>
      </c>
      <c r="K393" s="329">
        <v>2171</v>
      </c>
      <c r="L393" s="325" t="s">
        <v>2672</v>
      </c>
      <c r="M393" s="326" t="s">
        <v>226</v>
      </c>
      <c r="N393" s="326"/>
      <c r="O393" s="330">
        <v>232.17</v>
      </c>
      <c r="P393" s="330">
        <v>5.01</v>
      </c>
      <c r="Q393" s="331">
        <v>2171</v>
      </c>
      <c r="R393" s="330">
        <v>72000</v>
      </c>
      <c r="S393" s="330">
        <v>7200</v>
      </c>
      <c r="T393" s="326" t="s">
        <v>170</v>
      </c>
      <c r="U393" s="326" t="s">
        <v>2040</v>
      </c>
      <c r="V393" s="332"/>
      <c r="W393" s="333">
        <v>21710</v>
      </c>
    </row>
    <row r="394" spans="1:23" ht="45" customHeight="1" x14ac:dyDescent="0.4">
      <c r="A394" s="323">
        <v>217722</v>
      </c>
      <c r="B394" s="324" t="s">
        <v>4481</v>
      </c>
      <c r="C394" s="325" t="s">
        <v>2675</v>
      </c>
      <c r="D394" s="326" t="s">
        <v>2084</v>
      </c>
      <c r="E394" s="327" t="s">
        <v>1037</v>
      </c>
      <c r="F394" s="327"/>
      <c r="G394" s="327" t="s">
        <v>1038</v>
      </c>
      <c r="H394" s="325" t="s">
        <v>2057</v>
      </c>
      <c r="I394" s="325" t="s">
        <v>2069</v>
      </c>
      <c r="J394" s="328">
        <v>21</v>
      </c>
      <c r="K394" s="329">
        <v>2171</v>
      </c>
      <c r="L394" s="325" t="s">
        <v>2672</v>
      </c>
      <c r="M394" s="326" t="s">
        <v>226</v>
      </c>
      <c r="N394" s="326"/>
      <c r="O394" s="330">
        <v>232.17</v>
      </c>
      <c r="P394" s="330">
        <v>5.01</v>
      </c>
      <c r="Q394" s="331">
        <v>2171</v>
      </c>
      <c r="R394" s="330">
        <v>72000</v>
      </c>
      <c r="S394" s="330">
        <v>7200</v>
      </c>
      <c r="T394" s="326" t="s">
        <v>170</v>
      </c>
      <c r="U394" s="326" t="s">
        <v>2040</v>
      </c>
      <c r="V394" s="332"/>
      <c r="W394" s="333">
        <v>21710</v>
      </c>
    </row>
    <row r="395" spans="1:23" ht="45" customHeight="1" x14ac:dyDescent="0.4">
      <c r="A395" s="323">
        <v>217735</v>
      </c>
      <c r="B395" s="324" t="s">
        <v>4482</v>
      </c>
      <c r="C395" s="325" t="s">
        <v>2676</v>
      </c>
      <c r="D395" s="326" t="s">
        <v>2084</v>
      </c>
      <c r="E395" s="327" t="s">
        <v>1039</v>
      </c>
      <c r="F395" s="327"/>
      <c r="G395" s="327" t="s">
        <v>1040</v>
      </c>
      <c r="H395" s="325" t="s">
        <v>2057</v>
      </c>
      <c r="I395" s="325" t="s">
        <v>2586</v>
      </c>
      <c r="J395" s="328">
        <v>21</v>
      </c>
      <c r="K395" s="329">
        <v>2172</v>
      </c>
      <c r="L395" s="325" t="s">
        <v>2677</v>
      </c>
      <c r="M395" s="326" t="s">
        <v>226</v>
      </c>
      <c r="N395" s="326"/>
      <c r="O395" s="330">
        <v>232.17</v>
      </c>
      <c r="P395" s="330">
        <v>3.77</v>
      </c>
      <c r="Q395" s="331">
        <v>2172</v>
      </c>
      <c r="R395" s="330">
        <v>146000</v>
      </c>
      <c r="S395" s="330">
        <v>8100</v>
      </c>
      <c r="T395" s="326" t="s">
        <v>170</v>
      </c>
      <c r="U395" s="326" t="s">
        <v>2040</v>
      </c>
      <c r="V395" s="332">
        <v>21712</v>
      </c>
      <c r="W395" s="333"/>
    </row>
    <row r="396" spans="1:23" ht="45" customHeight="1" x14ac:dyDescent="0.4">
      <c r="A396" s="323">
        <v>217736</v>
      </c>
      <c r="B396" s="324" t="s">
        <v>4483</v>
      </c>
      <c r="C396" s="325" t="s">
        <v>2678</v>
      </c>
      <c r="D396" s="326" t="s">
        <v>2084</v>
      </c>
      <c r="E396" s="327" t="s">
        <v>1041</v>
      </c>
      <c r="F396" s="327"/>
      <c r="G396" s="327" t="s">
        <v>1042</v>
      </c>
      <c r="H396" s="325" t="s">
        <v>2057</v>
      </c>
      <c r="I396" s="325" t="s">
        <v>2586</v>
      </c>
      <c r="J396" s="328">
        <v>21</v>
      </c>
      <c r="K396" s="329">
        <v>2172</v>
      </c>
      <c r="L396" s="325" t="s">
        <v>2677</v>
      </c>
      <c r="M396" s="326" t="s">
        <v>226</v>
      </c>
      <c r="N396" s="326"/>
      <c r="O396" s="330">
        <v>232.17</v>
      </c>
      <c r="P396" s="330">
        <v>3.77</v>
      </c>
      <c r="Q396" s="331">
        <v>2172</v>
      </c>
      <c r="R396" s="330">
        <v>146000</v>
      </c>
      <c r="S396" s="330">
        <v>8100</v>
      </c>
      <c r="T396" s="326" t="s">
        <v>170</v>
      </c>
      <c r="U396" s="326" t="s">
        <v>2040</v>
      </c>
      <c r="V396" s="332">
        <v>21730</v>
      </c>
      <c r="W396" s="333"/>
    </row>
    <row r="397" spans="1:23" ht="45" customHeight="1" x14ac:dyDescent="0.4">
      <c r="A397" s="323">
        <v>217742</v>
      </c>
      <c r="B397" s="324" t="s">
        <v>4484</v>
      </c>
      <c r="C397" s="325" t="s">
        <v>2679</v>
      </c>
      <c r="D397" s="326" t="s">
        <v>2084</v>
      </c>
      <c r="E397" s="327" t="s">
        <v>1043</v>
      </c>
      <c r="F397" s="327"/>
      <c r="G397" s="327" t="s">
        <v>1044</v>
      </c>
      <c r="H397" s="325" t="s">
        <v>2136</v>
      </c>
      <c r="I397" s="325" t="s">
        <v>228</v>
      </c>
      <c r="J397" s="328">
        <v>21</v>
      </c>
      <c r="K397" s="329">
        <v>2171</v>
      </c>
      <c r="L397" s="325" t="s">
        <v>2672</v>
      </c>
      <c r="M397" s="326" t="s">
        <v>226</v>
      </c>
      <c r="N397" s="326"/>
      <c r="O397" s="330">
        <v>232.17</v>
      </c>
      <c r="P397" s="330">
        <v>5.01</v>
      </c>
      <c r="Q397" s="331">
        <v>2171</v>
      </c>
      <c r="R397" s="330">
        <v>72000</v>
      </c>
      <c r="S397" s="330">
        <v>7200</v>
      </c>
      <c r="T397" s="326" t="s">
        <v>170</v>
      </c>
      <c r="U397" s="326" t="s">
        <v>2040</v>
      </c>
      <c r="V397" s="332"/>
      <c r="W397" s="333" t="s">
        <v>2680</v>
      </c>
    </row>
    <row r="398" spans="1:23" ht="45" customHeight="1" x14ac:dyDescent="0.4">
      <c r="A398" s="323">
        <v>217752</v>
      </c>
      <c r="B398" s="324" t="s">
        <v>4485</v>
      </c>
      <c r="C398" s="325" t="s">
        <v>2681</v>
      </c>
      <c r="D398" s="326" t="s">
        <v>2084</v>
      </c>
      <c r="E398" s="327" t="s">
        <v>1045</v>
      </c>
      <c r="F398" s="327"/>
      <c r="G398" s="327" t="s">
        <v>1046</v>
      </c>
      <c r="H398" s="325" t="s">
        <v>2169</v>
      </c>
      <c r="I398" s="325" t="s">
        <v>2268</v>
      </c>
      <c r="J398" s="328">
        <v>21</v>
      </c>
      <c r="K398" s="329">
        <v>2171</v>
      </c>
      <c r="L398" s="325" t="s">
        <v>2672</v>
      </c>
      <c r="M398" s="326" t="s">
        <v>226</v>
      </c>
      <c r="N398" s="326"/>
      <c r="O398" s="330">
        <v>232.17</v>
      </c>
      <c r="P398" s="330">
        <v>5.01</v>
      </c>
      <c r="Q398" s="331">
        <v>2171</v>
      </c>
      <c r="R398" s="330">
        <v>72000</v>
      </c>
      <c r="S398" s="330">
        <v>7200</v>
      </c>
      <c r="T398" s="326" t="s">
        <v>170</v>
      </c>
      <c r="U398" s="326" t="s">
        <v>2040</v>
      </c>
      <c r="V398" s="332"/>
      <c r="W398" s="333">
        <v>21710</v>
      </c>
    </row>
    <row r="399" spans="1:23" ht="45" customHeight="1" x14ac:dyDescent="0.4">
      <c r="A399" s="323">
        <v>217762</v>
      </c>
      <c r="B399" s="324" t="s">
        <v>4486</v>
      </c>
      <c r="C399" s="325" t="s">
        <v>2682</v>
      </c>
      <c r="D399" s="326" t="s">
        <v>2084</v>
      </c>
      <c r="E399" s="327" t="s">
        <v>1047</v>
      </c>
      <c r="F399" s="327"/>
      <c r="G399" s="327" t="s">
        <v>1048</v>
      </c>
      <c r="H399" s="325" t="s">
        <v>2143</v>
      </c>
      <c r="I399" s="325" t="s">
        <v>2356</v>
      </c>
      <c r="J399" s="328">
        <v>21</v>
      </c>
      <c r="K399" s="329">
        <v>2171</v>
      </c>
      <c r="L399" s="325" t="s">
        <v>2672</v>
      </c>
      <c r="M399" s="326" t="s">
        <v>226</v>
      </c>
      <c r="N399" s="326"/>
      <c r="O399" s="330">
        <v>232.17</v>
      </c>
      <c r="P399" s="330">
        <v>5.01</v>
      </c>
      <c r="Q399" s="331">
        <v>2171</v>
      </c>
      <c r="R399" s="330">
        <v>72000</v>
      </c>
      <c r="S399" s="330">
        <v>7200</v>
      </c>
      <c r="T399" s="326" t="s">
        <v>170</v>
      </c>
      <c r="U399" s="326" t="s">
        <v>2040</v>
      </c>
      <c r="V399" s="332"/>
      <c r="W399" s="333">
        <v>21710</v>
      </c>
    </row>
    <row r="400" spans="1:23" ht="45" customHeight="1" x14ac:dyDescent="0.4">
      <c r="A400" s="323">
        <v>217812</v>
      </c>
      <c r="B400" s="324" t="s">
        <v>4487</v>
      </c>
      <c r="C400" s="325" t="s">
        <v>2683</v>
      </c>
      <c r="D400" s="326" t="s">
        <v>2084</v>
      </c>
      <c r="E400" s="327" t="s">
        <v>1049</v>
      </c>
      <c r="F400" s="327"/>
      <c r="G400" s="327" t="s">
        <v>1050</v>
      </c>
      <c r="H400" s="325" t="s">
        <v>2136</v>
      </c>
      <c r="I400" s="325" t="s">
        <v>2569</v>
      </c>
      <c r="J400" s="328">
        <v>21</v>
      </c>
      <c r="K400" s="329">
        <v>2172</v>
      </c>
      <c r="L400" s="325" t="s">
        <v>2677</v>
      </c>
      <c r="M400" s="326" t="s">
        <v>226</v>
      </c>
      <c r="N400" s="326"/>
      <c r="O400" s="330">
        <v>232.17</v>
      </c>
      <c r="P400" s="330">
        <v>3.77</v>
      </c>
      <c r="Q400" s="331">
        <v>2172</v>
      </c>
      <c r="R400" s="330">
        <v>146000</v>
      </c>
      <c r="S400" s="330">
        <v>8100</v>
      </c>
      <c r="T400" s="326" t="s">
        <v>170</v>
      </c>
      <c r="U400" s="326" t="s">
        <v>2040</v>
      </c>
      <c r="V400" s="332">
        <v>21710</v>
      </c>
      <c r="W400" s="333"/>
    </row>
    <row r="401" spans="1:23" ht="45" customHeight="1" x14ac:dyDescent="0.4">
      <c r="A401" s="323">
        <v>218122</v>
      </c>
      <c r="B401" s="324" t="s">
        <v>4488</v>
      </c>
      <c r="C401" s="325" t="s">
        <v>2684</v>
      </c>
      <c r="D401" s="326" t="s">
        <v>2084</v>
      </c>
      <c r="E401" s="327" t="s">
        <v>3728</v>
      </c>
      <c r="F401" s="327"/>
      <c r="G401" s="327" t="s">
        <v>1051</v>
      </c>
      <c r="H401" s="325" t="s">
        <v>228</v>
      </c>
      <c r="I401" s="325" t="s">
        <v>228</v>
      </c>
      <c r="J401" s="328">
        <v>21</v>
      </c>
      <c r="K401" s="329">
        <v>2181</v>
      </c>
      <c r="L401" s="325" t="s">
        <v>2685</v>
      </c>
      <c r="M401" s="326" t="s">
        <v>226</v>
      </c>
      <c r="N401" s="326"/>
      <c r="O401" s="330">
        <v>495.33</v>
      </c>
      <c r="P401" s="330">
        <v>5.24</v>
      </c>
      <c r="Q401" s="331">
        <v>2181</v>
      </c>
      <c r="R401" s="330">
        <v>160000</v>
      </c>
      <c r="S401" s="330">
        <v>6100</v>
      </c>
      <c r="T401" s="326" t="s">
        <v>170</v>
      </c>
      <c r="U401" s="326" t="s">
        <v>2040</v>
      </c>
      <c r="V401" s="332">
        <v>21882</v>
      </c>
      <c r="W401" s="333"/>
    </row>
    <row r="402" spans="1:23" ht="45" customHeight="1" x14ac:dyDescent="0.4">
      <c r="A402" s="323">
        <v>218123</v>
      </c>
      <c r="B402" s="324" t="s">
        <v>4489</v>
      </c>
      <c r="C402" s="325" t="s">
        <v>2686</v>
      </c>
      <c r="D402" s="326" t="s">
        <v>2084</v>
      </c>
      <c r="E402" s="327" t="s">
        <v>1052</v>
      </c>
      <c r="F402" s="327"/>
      <c r="G402" s="327" t="s">
        <v>383</v>
      </c>
      <c r="H402" s="325" t="e">
        <v>#N/A</v>
      </c>
      <c r="I402" s="325" t="e">
        <v>#N/A</v>
      </c>
      <c r="J402" s="328">
        <v>21</v>
      </c>
      <c r="K402" s="329">
        <v>2181</v>
      </c>
      <c r="L402" s="325" t="s">
        <v>2685</v>
      </c>
      <c r="M402" s="326" t="s">
        <v>226</v>
      </c>
      <c r="N402" s="326"/>
      <c r="O402" s="330">
        <v>495.33</v>
      </c>
      <c r="P402" s="330">
        <v>5.24</v>
      </c>
      <c r="Q402" s="331">
        <v>2181</v>
      </c>
      <c r="R402" s="330">
        <v>160000</v>
      </c>
      <c r="S402" s="330">
        <v>6100</v>
      </c>
      <c r="T402" s="326" t="s">
        <v>170</v>
      </c>
      <c r="U402" s="326" t="s">
        <v>2040</v>
      </c>
      <c r="V402" s="332">
        <v>21885</v>
      </c>
      <c r="W402" s="333">
        <v>21860</v>
      </c>
    </row>
    <row r="403" spans="1:23" ht="45" customHeight="1" x14ac:dyDescent="0.4">
      <c r="A403" s="323">
        <v>218299</v>
      </c>
      <c r="B403" s="324" t="s">
        <v>4490</v>
      </c>
      <c r="C403" s="325" t="s">
        <v>2687</v>
      </c>
      <c r="D403" s="326" t="s">
        <v>2084</v>
      </c>
      <c r="E403" s="327" t="s">
        <v>1053</v>
      </c>
      <c r="F403" s="327"/>
      <c r="G403" s="327" t="s">
        <v>1054</v>
      </c>
      <c r="H403" s="325" t="s">
        <v>228</v>
      </c>
      <c r="I403" s="325" t="s">
        <v>228</v>
      </c>
      <c r="J403" s="328">
        <v>21</v>
      </c>
      <c r="K403" s="329">
        <v>2182</v>
      </c>
      <c r="L403" s="325" t="s">
        <v>2688</v>
      </c>
      <c r="M403" s="326" t="s">
        <v>226</v>
      </c>
      <c r="N403" s="326"/>
      <c r="O403" s="330">
        <v>495.33</v>
      </c>
      <c r="P403" s="330">
        <v>5.01</v>
      </c>
      <c r="Q403" s="331">
        <v>2182</v>
      </c>
      <c r="R403" s="330">
        <v>100000</v>
      </c>
      <c r="S403" s="330">
        <v>5000</v>
      </c>
      <c r="T403" s="326" t="s">
        <v>170</v>
      </c>
      <c r="U403" s="326" t="s">
        <v>2040</v>
      </c>
      <c r="V403" s="332">
        <v>21885</v>
      </c>
      <c r="W403" s="333">
        <v>21880</v>
      </c>
    </row>
    <row r="404" spans="1:23" ht="45" customHeight="1" x14ac:dyDescent="0.4">
      <c r="A404" s="323">
        <v>218610</v>
      </c>
      <c r="B404" s="324" t="s">
        <v>4491</v>
      </c>
      <c r="C404" s="325" t="s">
        <v>3848</v>
      </c>
      <c r="D404" s="326" t="s">
        <v>2045</v>
      </c>
      <c r="E404" s="327" t="s">
        <v>4492</v>
      </c>
      <c r="F404" s="327"/>
      <c r="G404" s="327" t="s">
        <v>383</v>
      </c>
      <c r="H404" s="325"/>
      <c r="I404" s="325"/>
      <c r="J404" s="328">
        <v>21</v>
      </c>
      <c r="K404" s="329">
        <v>2185</v>
      </c>
      <c r="L404" s="325" t="s">
        <v>3844</v>
      </c>
      <c r="M404" s="326" t="s">
        <v>226</v>
      </c>
      <c r="N404" s="326"/>
      <c r="O404" s="330">
        <v>692.45</v>
      </c>
      <c r="P404" s="330">
        <v>0.91</v>
      </c>
      <c r="Q404" s="331">
        <v>2185</v>
      </c>
      <c r="R404" s="330">
        <v>23000</v>
      </c>
      <c r="S404" s="330">
        <v>5400</v>
      </c>
      <c r="T404" s="326" t="s">
        <v>170</v>
      </c>
      <c r="U404" s="326" t="s">
        <v>2040</v>
      </c>
      <c r="V404" s="332"/>
      <c r="W404" s="333"/>
    </row>
    <row r="405" spans="1:23" ht="45" customHeight="1" x14ac:dyDescent="0.4">
      <c r="A405" s="323">
        <v>218712</v>
      </c>
      <c r="B405" s="324" t="s">
        <v>4493</v>
      </c>
      <c r="C405" s="325" t="s">
        <v>2689</v>
      </c>
      <c r="D405" s="326" t="s">
        <v>2084</v>
      </c>
      <c r="E405" s="327" t="s">
        <v>1055</v>
      </c>
      <c r="F405" s="327"/>
      <c r="G405" s="327" t="s">
        <v>1056</v>
      </c>
      <c r="H405" s="325" t="s">
        <v>2057</v>
      </c>
      <c r="I405" s="325" t="s">
        <v>228</v>
      </c>
      <c r="J405" s="328">
        <v>21</v>
      </c>
      <c r="K405" s="329">
        <v>2181</v>
      </c>
      <c r="L405" s="325" t="s">
        <v>2685</v>
      </c>
      <c r="M405" s="326" t="s">
        <v>226</v>
      </c>
      <c r="N405" s="326"/>
      <c r="O405" s="330">
        <v>495.33</v>
      </c>
      <c r="P405" s="330">
        <v>5.24</v>
      </c>
      <c r="Q405" s="331">
        <v>2181</v>
      </c>
      <c r="R405" s="330">
        <v>160000</v>
      </c>
      <c r="S405" s="330">
        <v>6100</v>
      </c>
      <c r="T405" s="326" t="s">
        <v>170</v>
      </c>
      <c r="U405" s="326" t="s">
        <v>2040</v>
      </c>
      <c r="V405" s="332">
        <v>21885</v>
      </c>
      <c r="W405" s="333"/>
    </row>
    <row r="406" spans="1:23" ht="45" customHeight="1" x14ac:dyDescent="0.4">
      <c r="A406" s="323">
        <v>218827</v>
      </c>
      <c r="B406" s="324" t="s">
        <v>4494</v>
      </c>
      <c r="C406" s="325" t="s">
        <v>2690</v>
      </c>
      <c r="D406" s="326" t="s">
        <v>2084</v>
      </c>
      <c r="E406" s="327" t="s">
        <v>1057</v>
      </c>
      <c r="F406" s="327"/>
      <c r="G406" s="327" t="s">
        <v>1058</v>
      </c>
      <c r="H406" s="325" t="s">
        <v>2035</v>
      </c>
      <c r="I406" s="325" t="s">
        <v>228</v>
      </c>
      <c r="J406" s="328">
        <v>21</v>
      </c>
      <c r="K406" s="329">
        <v>2191</v>
      </c>
      <c r="L406" s="325" t="s">
        <v>2691</v>
      </c>
      <c r="M406" s="326" t="s">
        <v>226</v>
      </c>
      <c r="N406" s="326"/>
      <c r="O406" s="330">
        <v>495.33</v>
      </c>
      <c r="P406" s="330">
        <v>6.59</v>
      </c>
      <c r="Q406" s="331">
        <v>2191</v>
      </c>
      <c r="R406" s="330">
        <v>98000</v>
      </c>
      <c r="S406" s="330">
        <v>4700</v>
      </c>
      <c r="T406" s="326" t="s">
        <v>170</v>
      </c>
      <c r="U406" s="326" t="s">
        <v>2040</v>
      </c>
      <c r="V406" s="332">
        <v>21925</v>
      </c>
      <c r="W406" s="333">
        <v>21910</v>
      </c>
    </row>
    <row r="407" spans="1:23" ht="45" customHeight="1" x14ac:dyDescent="0.4">
      <c r="A407" s="323">
        <v>218842</v>
      </c>
      <c r="B407" s="324" t="s">
        <v>4495</v>
      </c>
      <c r="C407" s="325" t="s">
        <v>2692</v>
      </c>
      <c r="D407" s="326" t="s">
        <v>2084</v>
      </c>
      <c r="E407" s="327" t="s">
        <v>1059</v>
      </c>
      <c r="F407" s="327"/>
      <c r="G407" s="327" t="s">
        <v>1060</v>
      </c>
      <c r="H407" s="325" t="s">
        <v>2035</v>
      </c>
      <c r="I407" s="325" t="s">
        <v>228</v>
      </c>
      <c r="J407" s="328">
        <v>21</v>
      </c>
      <c r="K407" s="329">
        <v>2183</v>
      </c>
      <c r="L407" s="325" t="s">
        <v>2693</v>
      </c>
      <c r="M407" s="326" t="s">
        <v>226</v>
      </c>
      <c r="N407" s="326"/>
      <c r="O407" s="330">
        <v>495.33</v>
      </c>
      <c r="P407" s="330">
        <v>5.22</v>
      </c>
      <c r="Q407" s="331">
        <v>2183</v>
      </c>
      <c r="R407" s="330">
        <v>35000</v>
      </c>
      <c r="S407" s="330">
        <v>6000</v>
      </c>
      <c r="T407" s="326" t="s">
        <v>170</v>
      </c>
      <c r="U407" s="326" t="s">
        <v>2040</v>
      </c>
      <c r="V407" s="332">
        <v>21840</v>
      </c>
      <c r="W407" s="333">
        <v>21840</v>
      </c>
    </row>
    <row r="408" spans="1:23" ht="45" customHeight="1" x14ac:dyDescent="0.4">
      <c r="A408" s="323">
        <v>218852</v>
      </c>
      <c r="B408" s="324" t="s">
        <v>4496</v>
      </c>
      <c r="C408" s="325" t="s">
        <v>2694</v>
      </c>
      <c r="D408" s="326" t="s">
        <v>2084</v>
      </c>
      <c r="E408" s="327" t="s">
        <v>4497</v>
      </c>
      <c r="F408" s="327"/>
      <c r="G408" s="327" t="s">
        <v>1061</v>
      </c>
      <c r="H408" s="325" t="s">
        <v>2036</v>
      </c>
      <c r="I408" s="325" t="s">
        <v>2695</v>
      </c>
      <c r="J408" s="328">
        <v>21</v>
      </c>
      <c r="K408" s="329">
        <v>2184</v>
      </c>
      <c r="L408" s="325" t="s">
        <v>3805</v>
      </c>
      <c r="M408" s="326" t="s">
        <v>226</v>
      </c>
      <c r="N408" s="326"/>
      <c r="O408" s="330">
        <v>351.73</v>
      </c>
      <c r="P408" s="330">
        <v>6.08</v>
      </c>
      <c r="Q408" s="331">
        <v>2184</v>
      </c>
      <c r="R408" s="330">
        <v>57000</v>
      </c>
      <c r="S408" s="330">
        <v>12000</v>
      </c>
      <c r="T408" s="326" t="s">
        <v>170</v>
      </c>
      <c r="U408" s="326" t="s">
        <v>2040</v>
      </c>
      <c r="V408" s="332">
        <v>21881</v>
      </c>
      <c r="W408" s="333">
        <v>21175</v>
      </c>
    </row>
    <row r="409" spans="1:23" ht="45" customHeight="1" x14ac:dyDescent="0.4">
      <c r="A409" s="323">
        <v>218868</v>
      </c>
      <c r="B409" s="324" t="s">
        <v>4498</v>
      </c>
      <c r="C409" s="325" t="s">
        <v>2696</v>
      </c>
      <c r="D409" s="326" t="s">
        <v>2084</v>
      </c>
      <c r="E409" s="327" t="s">
        <v>1062</v>
      </c>
      <c r="F409" s="327"/>
      <c r="G409" s="327" t="s">
        <v>1063</v>
      </c>
      <c r="H409" s="325" t="s">
        <v>2697</v>
      </c>
      <c r="I409" s="325" t="s">
        <v>2698</v>
      </c>
      <c r="J409" s="328">
        <v>21</v>
      </c>
      <c r="K409" s="329">
        <v>2171</v>
      </c>
      <c r="L409" s="325" t="s">
        <v>2672</v>
      </c>
      <c r="M409" s="326" t="s">
        <v>226</v>
      </c>
      <c r="N409" s="326"/>
      <c r="O409" s="330">
        <v>232.17</v>
      </c>
      <c r="P409" s="330">
        <v>5.01</v>
      </c>
      <c r="Q409" s="331">
        <v>2171</v>
      </c>
      <c r="R409" s="330">
        <v>72000</v>
      </c>
      <c r="S409" s="330">
        <v>7200</v>
      </c>
      <c r="T409" s="326" t="s">
        <v>170</v>
      </c>
      <c r="U409" s="326" t="s">
        <v>2040</v>
      </c>
      <c r="V409" s="332"/>
      <c r="W409" s="333">
        <v>21710</v>
      </c>
    </row>
    <row r="410" spans="1:23" ht="45" customHeight="1" x14ac:dyDescent="0.4">
      <c r="A410" s="323">
        <v>219943</v>
      </c>
      <c r="B410" s="324" t="s">
        <v>4499</v>
      </c>
      <c r="C410" s="325" t="s">
        <v>3849</v>
      </c>
      <c r="D410" s="326" t="s">
        <v>2084</v>
      </c>
      <c r="E410" s="327" t="s">
        <v>1064</v>
      </c>
      <c r="F410" s="327"/>
      <c r="G410" s="327" t="s">
        <v>1065</v>
      </c>
      <c r="H410" s="325" t="s">
        <v>2035</v>
      </c>
      <c r="I410" s="325" t="s">
        <v>2570</v>
      </c>
      <c r="J410" s="328">
        <v>21</v>
      </c>
      <c r="K410" s="329">
        <v>2191</v>
      </c>
      <c r="L410" s="325" t="s">
        <v>2691</v>
      </c>
      <c r="M410" s="326" t="s">
        <v>226</v>
      </c>
      <c r="N410" s="326"/>
      <c r="O410" s="330">
        <v>495.33</v>
      </c>
      <c r="P410" s="330">
        <v>6.59</v>
      </c>
      <c r="Q410" s="331">
        <v>2191</v>
      </c>
      <c r="R410" s="330">
        <v>98000</v>
      </c>
      <c r="S410" s="330">
        <v>4700</v>
      </c>
      <c r="T410" s="326" t="s">
        <v>170</v>
      </c>
      <c r="U410" s="326" t="s">
        <v>2040</v>
      </c>
      <c r="V410" s="332">
        <v>21925</v>
      </c>
      <c r="W410" s="333">
        <v>21910</v>
      </c>
    </row>
    <row r="411" spans="1:23" ht="45" customHeight="1" x14ac:dyDescent="0.4">
      <c r="A411" s="323">
        <v>219944</v>
      </c>
      <c r="B411" s="324" t="s">
        <v>4500</v>
      </c>
      <c r="C411" s="325" t="s">
        <v>2699</v>
      </c>
      <c r="D411" s="326" t="s">
        <v>2084</v>
      </c>
      <c r="E411" s="327" t="s">
        <v>3729</v>
      </c>
      <c r="F411" s="327"/>
      <c r="G411" s="327" t="s">
        <v>1066</v>
      </c>
      <c r="H411" s="325" t="s">
        <v>2035</v>
      </c>
      <c r="I411" s="325" t="s">
        <v>2570</v>
      </c>
      <c r="J411" s="328">
        <v>21</v>
      </c>
      <c r="K411" s="329">
        <v>2191</v>
      </c>
      <c r="L411" s="325" t="s">
        <v>2691</v>
      </c>
      <c r="M411" s="326" t="s">
        <v>226</v>
      </c>
      <c r="N411" s="326"/>
      <c r="O411" s="330">
        <v>495.33</v>
      </c>
      <c r="P411" s="330">
        <v>6.59</v>
      </c>
      <c r="Q411" s="331">
        <v>2191</v>
      </c>
      <c r="R411" s="330">
        <v>98000</v>
      </c>
      <c r="S411" s="330">
        <v>4700</v>
      </c>
      <c r="T411" s="326" t="s">
        <v>170</v>
      </c>
      <c r="U411" s="326" t="s">
        <v>2040</v>
      </c>
      <c r="V411" s="332">
        <v>21925</v>
      </c>
      <c r="W411" s="333" t="s">
        <v>2700</v>
      </c>
    </row>
    <row r="412" spans="1:23" ht="45" customHeight="1" x14ac:dyDescent="0.4">
      <c r="A412" s="323">
        <v>219945</v>
      </c>
      <c r="B412" s="324" t="s">
        <v>4501</v>
      </c>
      <c r="C412" s="325" t="s">
        <v>2701</v>
      </c>
      <c r="D412" s="326" t="s">
        <v>2084</v>
      </c>
      <c r="E412" s="327" t="s">
        <v>1067</v>
      </c>
      <c r="F412" s="327"/>
      <c r="G412" s="327" t="s">
        <v>1068</v>
      </c>
      <c r="H412" s="325" t="s">
        <v>2702</v>
      </c>
      <c r="I412" s="325" t="s">
        <v>2035</v>
      </c>
      <c r="J412" s="328">
        <v>21</v>
      </c>
      <c r="K412" s="329">
        <v>2191</v>
      </c>
      <c r="L412" s="325" t="s">
        <v>2691</v>
      </c>
      <c r="M412" s="326" t="s">
        <v>226</v>
      </c>
      <c r="N412" s="326"/>
      <c r="O412" s="330">
        <v>495.33</v>
      </c>
      <c r="P412" s="330">
        <v>6.59</v>
      </c>
      <c r="Q412" s="331">
        <v>2191</v>
      </c>
      <c r="R412" s="330">
        <v>98000</v>
      </c>
      <c r="S412" s="330">
        <v>4700</v>
      </c>
      <c r="T412" s="326" t="s">
        <v>170</v>
      </c>
      <c r="U412" s="326" t="s">
        <v>2040</v>
      </c>
      <c r="V412" s="332">
        <v>21925</v>
      </c>
      <c r="W412" s="333"/>
    </row>
    <row r="413" spans="1:23" ht="45" customHeight="1" x14ac:dyDescent="0.4">
      <c r="A413" s="323">
        <v>219946</v>
      </c>
      <c r="B413" s="324" t="s">
        <v>4502</v>
      </c>
      <c r="C413" s="325" t="s">
        <v>2703</v>
      </c>
      <c r="D413" s="326" t="s">
        <v>2084</v>
      </c>
      <c r="E413" s="327" t="s">
        <v>1069</v>
      </c>
      <c r="F413" s="327"/>
      <c r="G413" s="327" t="s">
        <v>1070</v>
      </c>
      <c r="H413" s="325" t="s">
        <v>2035</v>
      </c>
      <c r="I413" s="325" t="s">
        <v>2570</v>
      </c>
      <c r="J413" s="328">
        <v>44</v>
      </c>
      <c r="K413" s="329">
        <v>4421</v>
      </c>
      <c r="L413" s="325" t="s">
        <v>2704</v>
      </c>
      <c r="M413" s="326" t="s">
        <v>226</v>
      </c>
      <c r="N413" s="326" t="s">
        <v>2602</v>
      </c>
      <c r="O413" s="330">
        <v>330</v>
      </c>
      <c r="P413" s="330">
        <v>2.79</v>
      </c>
      <c r="Q413" s="331">
        <v>4421</v>
      </c>
      <c r="R413" s="330">
        <v>1500000</v>
      </c>
      <c r="S413" s="330">
        <v>18000</v>
      </c>
      <c r="T413" s="326" t="s">
        <v>170</v>
      </c>
      <c r="U413" s="326" t="s">
        <v>2040</v>
      </c>
      <c r="V413" s="332">
        <v>44220</v>
      </c>
      <c r="W413" s="333">
        <v>44110</v>
      </c>
    </row>
    <row r="414" spans="1:23" ht="45" customHeight="1" x14ac:dyDescent="0.4">
      <c r="A414" s="323">
        <v>219947</v>
      </c>
      <c r="B414" s="324" t="s">
        <v>4503</v>
      </c>
      <c r="C414" s="325" t="s">
        <v>2705</v>
      </c>
      <c r="D414" s="326" t="s">
        <v>2045</v>
      </c>
      <c r="E414" s="327" t="s">
        <v>1071</v>
      </c>
      <c r="F414" s="327"/>
      <c r="G414" s="327" t="s">
        <v>1072</v>
      </c>
      <c r="H414" s="325" t="s">
        <v>2035</v>
      </c>
      <c r="I414" s="325" t="s">
        <v>2570</v>
      </c>
      <c r="J414" s="328">
        <v>44</v>
      </c>
      <c r="K414" s="329">
        <v>4422</v>
      </c>
      <c r="L414" s="325" t="s">
        <v>2353</v>
      </c>
      <c r="M414" s="326" t="s">
        <v>226</v>
      </c>
      <c r="N414" s="326" t="s">
        <v>2602</v>
      </c>
      <c r="O414" s="330">
        <v>195.5</v>
      </c>
      <c r="P414" s="330">
        <v>1.49</v>
      </c>
      <c r="Q414" s="331">
        <v>4422</v>
      </c>
      <c r="R414" s="330">
        <v>400000</v>
      </c>
      <c r="S414" s="330">
        <v>5500</v>
      </c>
      <c r="T414" s="326" t="s">
        <v>170</v>
      </c>
      <c r="U414" s="326" t="s">
        <v>2040</v>
      </c>
      <c r="V414" s="332">
        <v>44222</v>
      </c>
      <c r="W414" s="333">
        <v>44135</v>
      </c>
    </row>
    <row r="415" spans="1:23" ht="45" customHeight="1" x14ac:dyDescent="0.4">
      <c r="A415" s="323">
        <v>221221</v>
      </c>
      <c r="B415" s="324" t="s">
        <v>4504</v>
      </c>
      <c r="C415" s="325" t="s">
        <v>2706</v>
      </c>
      <c r="D415" s="326" t="s">
        <v>2084</v>
      </c>
      <c r="E415" s="327" t="s">
        <v>1073</v>
      </c>
      <c r="F415" s="327"/>
      <c r="G415" s="327" t="s">
        <v>1074</v>
      </c>
      <c r="H415" s="325" t="s">
        <v>2057</v>
      </c>
      <c r="I415" s="325" t="s">
        <v>2586</v>
      </c>
      <c r="J415" s="328">
        <v>22</v>
      </c>
      <c r="K415" s="329">
        <v>2211</v>
      </c>
      <c r="L415" s="325" t="s">
        <v>2707</v>
      </c>
      <c r="M415" s="326" t="s">
        <v>226</v>
      </c>
      <c r="N415" s="326"/>
      <c r="O415" s="330">
        <v>319.74</v>
      </c>
      <c r="P415" s="330">
        <v>2.37</v>
      </c>
      <c r="Q415" s="331">
        <v>2211</v>
      </c>
      <c r="R415" s="330">
        <v>486000</v>
      </c>
      <c r="S415" s="330">
        <v>7700</v>
      </c>
      <c r="T415" s="326" t="s">
        <v>170</v>
      </c>
      <c r="U415" s="326" t="s">
        <v>2040</v>
      </c>
      <c r="V415" s="332">
        <v>22120</v>
      </c>
      <c r="W415" s="333">
        <v>22120</v>
      </c>
    </row>
    <row r="416" spans="1:23" ht="45" customHeight="1" x14ac:dyDescent="0.4">
      <c r="A416" s="323">
        <v>221222</v>
      </c>
      <c r="B416" s="324" t="s">
        <v>4505</v>
      </c>
      <c r="C416" s="325" t="s">
        <v>2708</v>
      </c>
      <c r="D416" s="326" t="s">
        <v>2084</v>
      </c>
      <c r="E416" s="327" t="s">
        <v>1075</v>
      </c>
      <c r="F416" s="327"/>
      <c r="G416" s="327" t="s">
        <v>1076</v>
      </c>
      <c r="H416" s="325" t="s">
        <v>2057</v>
      </c>
      <c r="I416" s="325" t="s">
        <v>2586</v>
      </c>
      <c r="J416" s="328">
        <v>22</v>
      </c>
      <c r="K416" s="329">
        <v>2211</v>
      </c>
      <c r="L416" s="325" t="s">
        <v>2707</v>
      </c>
      <c r="M416" s="326" t="s">
        <v>226</v>
      </c>
      <c r="N416" s="326"/>
      <c r="O416" s="330">
        <v>319.74</v>
      </c>
      <c r="P416" s="330">
        <v>2.37</v>
      </c>
      <c r="Q416" s="331">
        <v>2211</v>
      </c>
      <c r="R416" s="330">
        <v>486000</v>
      </c>
      <c r="S416" s="330">
        <v>7700</v>
      </c>
      <c r="T416" s="326" t="s">
        <v>170</v>
      </c>
      <c r="U416" s="326" t="s">
        <v>2040</v>
      </c>
      <c r="V416" s="332">
        <v>22110</v>
      </c>
      <c r="W416" s="333">
        <v>22110</v>
      </c>
    </row>
    <row r="417" spans="1:23" ht="45" customHeight="1" x14ac:dyDescent="0.4">
      <c r="A417" s="323">
        <v>222222</v>
      </c>
      <c r="B417" s="324" t="s">
        <v>4506</v>
      </c>
      <c r="C417" s="325" t="s">
        <v>2709</v>
      </c>
      <c r="D417" s="326" t="s">
        <v>2084</v>
      </c>
      <c r="E417" s="327" t="s">
        <v>1077</v>
      </c>
      <c r="F417" s="327"/>
      <c r="G417" s="327" t="s">
        <v>1078</v>
      </c>
      <c r="H417" s="325" t="s">
        <v>2057</v>
      </c>
      <c r="I417" s="325" t="s">
        <v>2586</v>
      </c>
      <c r="J417" s="328">
        <v>22</v>
      </c>
      <c r="K417" s="329">
        <v>2221</v>
      </c>
      <c r="L417" s="325" t="s">
        <v>2710</v>
      </c>
      <c r="M417" s="326" t="s">
        <v>226</v>
      </c>
      <c r="N417" s="326"/>
      <c r="O417" s="330">
        <v>334.67</v>
      </c>
      <c r="P417" s="330">
        <v>3.71</v>
      </c>
      <c r="Q417" s="331">
        <v>2221</v>
      </c>
      <c r="R417" s="330">
        <v>137000</v>
      </c>
      <c r="S417" s="330">
        <v>7400</v>
      </c>
      <c r="T417" s="326" t="s">
        <v>170</v>
      </c>
      <c r="U417" s="326" t="s">
        <v>2040</v>
      </c>
      <c r="V417" s="332">
        <v>22230</v>
      </c>
      <c r="W417" s="333">
        <v>22210</v>
      </c>
    </row>
    <row r="418" spans="1:23" ht="45" customHeight="1" x14ac:dyDescent="0.4">
      <c r="A418" s="323">
        <v>226226</v>
      </c>
      <c r="B418" s="324" t="s">
        <v>4507</v>
      </c>
      <c r="C418" s="325" t="s">
        <v>2711</v>
      </c>
      <c r="D418" s="326" t="s">
        <v>2084</v>
      </c>
      <c r="E418" s="327" t="s">
        <v>1079</v>
      </c>
      <c r="F418" s="327"/>
      <c r="G418" s="327" t="s">
        <v>1080</v>
      </c>
      <c r="H418" s="325" t="s">
        <v>2057</v>
      </c>
      <c r="I418" s="325" t="s">
        <v>2586</v>
      </c>
      <c r="J418" s="328">
        <v>22</v>
      </c>
      <c r="K418" s="329">
        <v>2261</v>
      </c>
      <c r="L418" s="325" t="s">
        <v>2712</v>
      </c>
      <c r="M418" s="326" t="s">
        <v>226</v>
      </c>
      <c r="N418" s="326"/>
      <c r="O418" s="330">
        <v>352.29</v>
      </c>
      <c r="P418" s="330">
        <v>7.69</v>
      </c>
      <c r="Q418" s="331">
        <v>2261</v>
      </c>
      <c r="R418" s="330">
        <v>110000</v>
      </c>
      <c r="S418" s="330">
        <v>3900</v>
      </c>
      <c r="T418" s="326" t="s">
        <v>170</v>
      </c>
      <c r="U418" s="326" t="s">
        <v>2040</v>
      </c>
      <c r="V418" s="332">
        <v>22616</v>
      </c>
      <c r="W418" s="333">
        <v>22660</v>
      </c>
    </row>
    <row r="419" spans="1:23" ht="45" customHeight="1" x14ac:dyDescent="0.4">
      <c r="A419" s="323">
        <v>227227</v>
      </c>
      <c r="B419" s="324" t="s">
        <v>4508</v>
      </c>
      <c r="C419" s="325" t="s">
        <v>2713</v>
      </c>
      <c r="D419" s="326" t="s">
        <v>2084</v>
      </c>
      <c r="E419" s="327" t="s">
        <v>1081</v>
      </c>
      <c r="F419" s="327"/>
      <c r="G419" s="327" t="s">
        <v>1082</v>
      </c>
      <c r="H419" s="325" t="s">
        <v>2057</v>
      </c>
      <c r="I419" s="325" t="s">
        <v>2586</v>
      </c>
      <c r="J419" s="328">
        <v>22</v>
      </c>
      <c r="K419" s="329">
        <v>2271</v>
      </c>
      <c r="L419" s="325" t="s">
        <v>2714</v>
      </c>
      <c r="M419" s="326" t="s">
        <v>226</v>
      </c>
      <c r="N419" s="326"/>
      <c r="O419" s="330">
        <v>137.30000000000001</v>
      </c>
      <c r="P419" s="330">
        <v>2.5299999999999998</v>
      </c>
      <c r="Q419" s="331">
        <v>2271</v>
      </c>
      <c r="R419" s="330">
        <v>34000</v>
      </c>
      <c r="S419" s="330">
        <v>25100</v>
      </c>
      <c r="T419" s="326" t="s">
        <v>170</v>
      </c>
      <c r="U419" s="326" t="s">
        <v>2040</v>
      </c>
      <c r="V419" s="332" t="s">
        <v>228</v>
      </c>
      <c r="W419" s="333" t="s">
        <v>228</v>
      </c>
    </row>
    <row r="420" spans="1:23" ht="45" customHeight="1" x14ac:dyDescent="0.4">
      <c r="A420" s="323">
        <v>227228</v>
      </c>
      <c r="B420" s="324" t="s">
        <v>4509</v>
      </c>
      <c r="C420" s="325" t="s">
        <v>2715</v>
      </c>
      <c r="D420" s="326" t="s">
        <v>2084</v>
      </c>
      <c r="E420" s="327" t="s">
        <v>1083</v>
      </c>
      <c r="F420" s="327"/>
      <c r="G420" s="327" t="s">
        <v>1084</v>
      </c>
      <c r="H420" s="325" t="s">
        <v>2057</v>
      </c>
      <c r="I420" s="325" t="s">
        <v>2586</v>
      </c>
      <c r="J420" s="328">
        <v>22</v>
      </c>
      <c r="K420" s="329">
        <v>2271</v>
      </c>
      <c r="L420" s="325" t="s">
        <v>2714</v>
      </c>
      <c r="M420" s="326" t="s">
        <v>226</v>
      </c>
      <c r="N420" s="326"/>
      <c r="O420" s="330">
        <v>137.30000000000001</v>
      </c>
      <c r="P420" s="330">
        <v>2.5299999999999998</v>
      </c>
      <c r="Q420" s="331">
        <v>2271</v>
      </c>
      <c r="R420" s="330">
        <v>34000</v>
      </c>
      <c r="S420" s="330">
        <v>25100</v>
      </c>
      <c r="T420" s="326" t="s">
        <v>170</v>
      </c>
      <c r="U420" s="326" t="s">
        <v>2040</v>
      </c>
      <c r="V420" s="332" t="s">
        <v>228</v>
      </c>
      <c r="W420" s="333" t="s">
        <v>228</v>
      </c>
    </row>
    <row r="421" spans="1:23" ht="45" customHeight="1" x14ac:dyDescent="0.4">
      <c r="A421" s="323">
        <v>228228</v>
      </c>
      <c r="B421" s="324" t="s">
        <v>4510</v>
      </c>
      <c r="C421" s="325" t="s">
        <v>2716</v>
      </c>
      <c r="D421" s="326" t="s">
        <v>2084</v>
      </c>
      <c r="E421" s="327" t="s">
        <v>1085</v>
      </c>
      <c r="F421" s="327"/>
      <c r="G421" s="327" t="s">
        <v>1086</v>
      </c>
      <c r="H421" s="325" t="s">
        <v>2057</v>
      </c>
      <c r="I421" s="325" t="s">
        <v>2586</v>
      </c>
      <c r="J421" s="328">
        <v>22</v>
      </c>
      <c r="K421" s="329">
        <v>2281</v>
      </c>
      <c r="L421" s="325" t="s">
        <v>2717</v>
      </c>
      <c r="M421" s="326" t="s">
        <v>226</v>
      </c>
      <c r="N421" s="326"/>
      <c r="O421" s="330">
        <v>179.05</v>
      </c>
      <c r="P421" s="330">
        <v>5.94</v>
      </c>
      <c r="Q421" s="331">
        <v>2281</v>
      </c>
      <c r="R421" s="330">
        <v>54000</v>
      </c>
      <c r="S421" s="330">
        <v>6300</v>
      </c>
      <c r="T421" s="326" t="s">
        <v>170</v>
      </c>
      <c r="U421" s="326" t="s">
        <v>2040</v>
      </c>
      <c r="V421" s="332">
        <v>22845</v>
      </c>
      <c r="W421" s="333" t="s">
        <v>228</v>
      </c>
    </row>
    <row r="422" spans="1:23" ht="45" customHeight="1" x14ac:dyDescent="0.4">
      <c r="A422" s="323">
        <v>229982</v>
      </c>
      <c r="B422" s="324" t="s">
        <v>4511</v>
      </c>
      <c r="C422" s="325" t="s">
        <v>2718</v>
      </c>
      <c r="D422" s="326" t="s">
        <v>2045</v>
      </c>
      <c r="E422" s="327" t="s">
        <v>1087</v>
      </c>
      <c r="F422" s="327"/>
      <c r="G422" s="327" t="s">
        <v>1088</v>
      </c>
      <c r="H422" s="325" t="s">
        <v>2035</v>
      </c>
      <c r="I422" s="325" t="s">
        <v>2570</v>
      </c>
      <c r="J422" s="328">
        <v>22</v>
      </c>
      <c r="K422" s="329">
        <v>2291</v>
      </c>
      <c r="L422" s="325" t="s">
        <v>3850</v>
      </c>
      <c r="M422" s="326" t="s">
        <v>2076</v>
      </c>
      <c r="N422" s="326"/>
      <c r="O422" s="330">
        <v>2908974.53</v>
      </c>
      <c r="P422" s="330">
        <v>44582.5</v>
      </c>
      <c r="Q422" s="331">
        <v>2291</v>
      </c>
      <c r="R422" s="330">
        <v>1</v>
      </c>
      <c r="S422" s="330">
        <v>1</v>
      </c>
      <c r="T422" s="326" t="s">
        <v>170</v>
      </c>
      <c r="U422" s="326" t="s">
        <v>2040</v>
      </c>
      <c r="V422" s="332">
        <v>22910</v>
      </c>
      <c r="W422" s="333">
        <v>22910</v>
      </c>
    </row>
    <row r="423" spans="1:23" ht="45" customHeight="1" x14ac:dyDescent="0.4">
      <c r="A423" s="323">
        <v>229984</v>
      </c>
      <c r="B423" s="324" t="s">
        <v>4512</v>
      </c>
      <c r="C423" s="325" t="s">
        <v>2719</v>
      </c>
      <c r="D423" s="326" t="s">
        <v>2045</v>
      </c>
      <c r="E423" s="327" t="s">
        <v>1089</v>
      </c>
      <c r="F423" s="327"/>
      <c r="G423" s="327" t="s">
        <v>1090</v>
      </c>
      <c r="H423" s="325" t="s">
        <v>2035</v>
      </c>
      <c r="I423" s="325" t="s">
        <v>2570</v>
      </c>
      <c r="J423" s="328">
        <v>22</v>
      </c>
      <c r="K423" s="329">
        <v>2291</v>
      </c>
      <c r="L423" s="325" t="s">
        <v>3850</v>
      </c>
      <c r="M423" s="326" t="s">
        <v>2076</v>
      </c>
      <c r="N423" s="326"/>
      <c r="O423" s="330">
        <v>2908974.53</v>
      </c>
      <c r="P423" s="330">
        <v>44582.5</v>
      </c>
      <c r="Q423" s="331">
        <v>2291</v>
      </c>
      <c r="R423" s="330">
        <v>1</v>
      </c>
      <c r="S423" s="330">
        <v>1</v>
      </c>
      <c r="T423" s="326" t="s">
        <v>170</v>
      </c>
      <c r="U423" s="326" t="s">
        <v>2040</v>
      </c>
      <c r="V423" s="332">
        <v>22920</v>
      </c>
      <c r="W423" s="333">
        <v>22920</v>
      </c>
    </row>
    <row r="424" spans="1:23" ht="45" customHeight="1" x14ac:dyDescent="0.4">
      <c r="A424" s="323">
        <v>229986</v>
      </c>
      <c r="B424" s="324" t="s">
        <v>4513</v>
      </c>
      <c r="C424" s="325" t="s">
        <v>2721</v>
      </c>
      <c r="D424" s="326" t="s">
        <v>2045</v>
      </c>
      <c r="E424" s="327" t="s">
        <v>1091</v>
      </c>
      <c r="F424" s="327"/>
      <c r="G424" s="327" t="s">
        <v>1092</v>
      </c>
      <c r="H424" s="325" t="s">
        <v>2035</v>
      </c>
      <c r="I424" s="325" t="s">
        <v>2570</v>
      </c>
      <c r="J424" s="328">
        <v>89</v>
      </c>
      <c r="K424" s="329">
        <v>8921</v>
      </c>
      <c r="L424" s="325" t="s">
        <v>2722</v>
      </c>
      <c r="M424" s="326" t="s">
        <v>2076</v>
      </c>
      <c r="N424" s="326"/>
      <c r="O424" s="330">
        <v>385806.5</v>
      </c>
      <c r="P424" s="330">
        <v>27730.23</v>
      </c>
      <c r="Q424" s="331">
        <v>8921</v>
      </c>
      <c r="R424" s="330">
        <v>1</v>
      </c>
      <c r="S424" s="330">
        <v>1</v>
      </c>
      <c r="T424" s="326" t="s">
        <v>170</v>
      </c>
      <c r="U424" s="326" t="s">
        <v>2040</v>
      </c>
      <c r="V424" s="332">
        <v>89132</v>
      </c>
      <c r="W424" s="333">
        <v>89030</v>
      </c>
    </row>
    <row r="425" spans="1:23" ht="45" customHeight="1" x14ac:dyDescent="0.4">
      <c r="A425" s="323">
        <v>229987</v>
      </c>
      <c r="B425" s="324" t="s">
        <v>4514</v>
      </c>
      <c r="C425" s="325" t="s">
        <v>2723</v>
      </c>
      <c r="D425" s="326" t="s">
        <v>2045</v>
      </c>
      <c r="E425" s="327" t="s">
        <v>1093</v>
      </c>
      <c r="F425" s="327" t="s">
        <v>2720</v>
      </c>
      <c r="G425" s="327" t="s">
        <v>1094</v>
      </c>
      <c r="H425" s="325" t="s">
        <v>2035</v>
      </c>
      <c r="I425" s="325" t="s">
        <v>2570</v>
      </c>
      <c r="J425" s="328">
        <v>22</v>
      </c>
      <c r="K425" s="329">
        <v>2291</v>
      </c>
      <c r="L425" s="325" t="s">
        <v>3850</v>
      </c>
      <c r="M425" s="326" t="s">
        <v>2076</v>
      </c>
      <c r="N425" s="326"/>
      <c r="O425" s="330">
        <v>2908974.53</v>
      </c>
      <c r="P425" s="330">
        <v>44582.5</v>
      </c>
      <c r="Q425" s="331">
        <v>2291</v>
      </c>
      <c r="R425" s="330">
        <v>1</v>
      </c>
      <c r="S425" s="330">
        <v>1</v>
      </c>
      <c r="T425" s="326" t="s">
        <v>170</v>
      </c>
      <c r="U425" s="326" t="s">
        <v>2040</v>
      </c>
      <c r="V425" s="332">
        <v>22930</v>
      </c>
      <c r="W425" s="333">
        <v>22930</v>
      </c>
    </row>
    <row r="426" spans="1:23" ht="45" customHeight="1" x14ac:dyDescent="0.4">
      <c r="A426" s="323">
        <v>310630</v>
      </c>
      <c r="B426" s="324" t="s">
        <v>4515</v>
      </c>
      <c r="C426" s="325" t="s">
        <v>3851</v>
      </c>
      <c r="D426" s="326" t="s">
        <v>2084</v>
      </c>
      <c r="E426" s="327" t="s">
        <v>4516</v>
      </c>
      <c r="F426" s="327"/>
      <c r="G426" s="327" t="s">
        <v>383</v>
      </c>
      <c r="H426" s="325" t="s">
        <v>2283</v>
      </c>
      <c r="I426" s="325" t="s">
        <v>228</v>
      </c>
      <c r="J426" s="328">
        <v>31</v>
      </c>
      <c r="K426" s="329">
        <v>3101</v>
      </c>
      <c r="L426" s="325" t="s">
        <v>2725</v>
      </c>
      <c r="M426" s="326" t="s">
        <v>226</v>
      </c>
      <c r="N426" s="326"/>
      <c r="O426" s="330">
        <v>955</v>
      </c>
      <c r="P426" s="330">
        <v>8.52</v>
      </c>
      <c r="Q426" s="331">
        <v>3101</v>
      </c>
      <c r="R426" s="330">
        <v>290000</v>
      </c>
      <c r="S426" s="330">
        <v>22000</v>
      </c>
      <c r="T426" s="326" t="s">
        <v>170</v>
      </c>
      <c r="U426" s="326" t="s">
        <v>2040</v>
      </c>
      <c r="V426" s="332"/>
      <c r="W426" s="333"/>
    </row>
    <row r="427" spans="1:23" ht="45" customHeight="1" x14ac:dyDescent="0.4">
      <c r="A427" s="323">
        <v>310911</v>
      </c>
      <c r="B427" s="324" t="s">
        <v>4517</v>
      </c>
      <c r="C427" s="325" t="s">
        <v>2724</v>
      </c>
      <c r="D427" s="326" t="s">
        <v>2084</v>
      </c>
      <c r="E427" s="327" t="s">
        <v>1095</v>
      </c>
      <c r="F427" s="327"/>
      <c r="G427" s="327" t="s">
        <v>1096</v>
      </c>
      <c r="H427" s="325" t="s">
        <v>2283</v>
      </c>
      <c r="I427" s="325" t="s">
        <v>228</v>
      </c>
      <c r="J427" s="328">
        <v>31</v>
      </c>
      <c r="K427" s="329">
        <v>3101</v>
      </c>
      <c r="L427" s="325" t="s">
        <v>2725</v>
      </c>
      <c r="M427" s="326" t="s">
        <v>226</v>
      </c>
      <c r="N427" s="326"/>
      <c r="O427" s="330">
        <v>955</v>
      </c>
      <c r="P427" s="330">
        <v>8.52</v>
      </c>
      <c r="Q427" s="331">
        <v>3101</v>
      </c>
      <c r="R427" s="330">
        <v>290000</v>
      </c>
      <c r="S427" s="330">
        <v>22000</v>
      </c>
      <c r="T427" s="326" t="s">
        <v>170</v>
      </c>
      <c r="U427" s="326" t="s">
        <v>2040</v>
      </c>
      <c r="V427" s="332">
        <v>31040</v>
      </c>
      <c r="W427" s="333">
        <v>31019</v>
      </c>
    </row>
    <row r="428" spans="1:23" ht="45" customHeight="1" x14ac:dyDescent="0.4">
      <c r="A428" s="323">
        <v>310912</v>
      </c>
      <c r="B428" s="324" t="s">
        <v>4518</v>
      </c>
      <c r="C428" s="325" t="s">
        <v>2726</v>
      </c>
      <c r="D428" s="326" t="s">
        <v>2084</v>
      </c>
      <c r="E428" s="327" t="s">
        <v>1097</v>
      </c>
      <c r="F428" s="327"/>
      <c r="G428" s="327" t="s">
        <v>1098</v>
      </c>
      <c r="H428" s="325" t="s">
        <v>2283</v>
      </c>
      <c r="I428" s="325" t="s">
        <v>228</v>
      </c>
      <c r="J428" s="328">
        <v>31</v>
      </c>
      <c r="K428" s="329">
        <v>3101</v>
      </c>
      <c r="L428" s="325" t="s">
        <v>2725</v>
      </c>
      <c r="M428" s="326" t="s">
        <v>226</v>
      </c>
      <c r="N428" s="326"/>
      <c r="O428" s="330">
        <v>955</v>
      </c>
      <c r="P428" s="330">
        <v>8.52</v>
      </c>
      <c r="Q428" s="331">
        <v>3101</v>
      </c>
      <c r="R428" s="330">
        <v>290000</v>
      </c>
      <c r="S428" s="330">
        <v>22000</v>
      </c>
      <c r="T428" s="326" t="s">
        <v>170</v>
      </c>
      <c r="U428" s="326" t="s">
        <v>2040</v>
      </c>
      <c r="V428" s="332" t="s">
        <v>228</v>
      </c>
      <c r="W428" s="333">
        <v>31027</v>
      </c>
    </row>
    <row r="429" spans="1:23" ht="45" customHeight="1" x14ac:dyDescent="0.4">
      <c r="A429" s="323">
        <v>310913</v>
      </c>
      <c r="B429" s="324" t="s">
        <v>4519</v>
      </c>
      <c r="C429" s="325" t="s">
        <v>2727</v>
      </c>
      <c r="D429" s="326" t="s">
        <v>2084</v>
      </c>
      <c r="E429" s="327" t="s">
        <v>1099</v>
      </c>
      <c r="F429" s="327"/>
      <c r="G429" s="327" t="s">
        <v>1100</v>
      </c>
      <c r="H429" s="325" t="s">
        <v>2283</v>
      </c>
      <c r="I429" s="325" t="s">
        <v>228</v>
      </c>
      <c r="J429" s="328">
        <v>31</v>
      </c>
      <c r="K429" s="329">
        <v>3101</v>
      </c>
      <c r="L429" s="325" t="s">
        <v>2725</v>
      </c>
      <c r="M429" s="326" t="s">
        <v>226</v>
      </c>
      <c r="N429" s="326"/>
      <c r="O429" s="330">
        <v>955</v>
      </c>
      <c r="P429" s="330">
        <v>8.52</v>
      </c>
      <c r="Q429" s="331">
        <v>3101</v>
      </c>
      <c r="R429" s="330">
        <v>290000</v>
      </c>
      <c r="S429" s="330">
        <v>22000</v>
      </c>
      <c r="T429" s="326" t="s">
        <v>170</v>
      </c>
      <c r="U429" s="326" t="s">
        <v>2040</v>
      </c>
      <c r="V429" s="332">
        <v>31071</v>
      </c>
      <c r="W429" s="333">
        <v>31011</v>
      </c>
    </row>
    <row r="430" spans="1:23" ht="45" customHeight="1" x14ac:dyDescent="0.4">
      <c r="A430" s="323">
        <v>310914</v>
      </c>
      <c r="B430" s="324" t="s">
        <v>4520</v>
      </c>
      <c r="C430" s="325" t="s">
        <v>2728</v>
      </c>
      <c r="D430" s="326" t="s">
        <v>2084</v>
      </c>
      <c r="E430" s="327" t="s">
        <v>1101</v>
      </c>
      <c r="F430" s="327"/>
      <c r="G430" s="327" t="s">
        <v>1102</v>
      </c>
      <c r="H430" s="325" t="s">
        <v>2283</v>
      </c>
      <c r="I430" s="325" t="s">
        <v>228</v>
      </c>
      <c r="J430" s="328">
        <v>31</v>
      </c>
      <c r="K430" s="329">
        <v>3101</v>
      </c>
      <c r="L430" s="325" t="s">
        <v>2725</v>
      </c>
      <c r="M430" s="326" t="s">
        <v>226</v>
      </c>
      <c r="N430" s="326"/>
      <c r="O430" s="330">
        <v>955</v>
      </c>
      <c r="P430" s="330">
        <v>8.52</v>
      </c>
      <c r="Q430" s="331">
        <v>3101</v>
      </c>
      <c r="R430" s="330">
        <v>290000</v>
      </c>
      <c r="S430" s="330">
        <v>22000</v>
      </c>
      <c r="T430" s="326" t="s">
        <v>170</v>
      </c>
      <c r="U430" s="326" t="s">
        <v>2040</v>
      </c>
      <c r="V430" s="332">
        <v>31071</v>
      </c>
      <c r="W430" s="333" t="s">
        <v>228</v>
      </c>
    </row>
    <row r="431" spans="1:23" ht="45" customHeight="1" x14ac:dyDescent="0.4">
      <c r="A431" s="323">
        <v>310915</v>
      </c>
      <c r="B431" s="324" t="s">
        <v>4521</v>
      </c>
      <c r="C431" s="325" t="s">
        <v>2729</v>
      </c>
      <c r="D431" s="326" t="s">
        <v>2084</v>
      </c>
      <c r="E431" s="327" t="s">
        <v>1103</v>
      </c>
      <c r="F431" s="327"/>
      <c r="G431" s="327" t="s">
        <v>1104</v>
      </c>
      <c r="H431" s="325" t="s">
        <v>2283</v>
      </c>
      <c r="I431" s="325" t="s">
        <v>228</v>
      </c>
      <c r="J431" s="328">
        <v>31</v>
      </c>
      <c r="K431" s="329">
        <v>3101</v>
      </c>
      <c r="L431" s="325" t="s">
        <v>2725</v>
      </c>
      <c r="M431" s="326" t="s">
        <v>226</v>
      </c>
      <c r="N431" s="326"/>
      <c r="O431" s="330">
        <v>955</v>
      </c>
      <c r="P431" s="330">
        <v>8.52</v>
      </c>
      <c r="Q431" s="331">
        <v>3101</v>
      </c>
      <c r="R431" s="330">
        <v>290000</v>
      </c>
      <c r="S431" s="330">
        <v>22000</v>
      </c>
      <c r="T431" s="326" t="s">
        <v>170</v>
      </c>
      <c r="U431" s="326" t="s">
        <v>2040</v>
      </c>
      <c r="V431" s="332">
        <v>31010</v>
      </c>
      <c r="W431" s="333">
        <v>31013</v>
      </c>
    </row>
    <row r="432" spans="1:23" ht="45" customHeight="1" x14ac:dyDescent="0.4">
      <c r="A432" s="323">
        <v>310916</v>
      </c>
      <c r="B432" s="324" t="s">
        <v>4522</v>
      </c>
      <c r="C432" s="325" t="s">
        <v>2730</v>
      </c>
      <c r="D432" s="326" t="s">
        <v>2084</v>
      </c>
      <c r="E432" s="327" t="s">
        <v>1105</v>
      </c>
      <c r="F432" s="327"/>
      <c r="G432" s="327" t="s">
        <v>1106</v>
      </c>
      <c r="H432" s="325" t="s">
        <v>2283</v>
      </c>
      <c r="I432" s="325" t="s">
        <v>228</v>
      </c>
      <c r="J432" s="328">
        <v>31</v>
      </c>
      <c r="K432" s="329">
        <v>3101</v>
      </c>
      <c r="L432" s="325" t="s">
        <v>2725</v>
      </c>
      <c r="M432" s="326" t="s">
        <v>226</v>
      </c>
      <c r="N432" s="326"/>
      <c r="O432" s="330">
        <v>955</v>
      </c>
      <c r="P432" s="330">
        <v>8.52</v>
      </c>
      <c r="Q432" s="331">
        <v>3101</v>
      </c>
      <c r="R432" s="330">
        <v>290000</v>
      </c>
      <c r="S432" s="330">
        <v>22000</v>
      </c>
      <c r="T432" s="326" t="s">
        <v>170</v>
      </c>
      <c r="U432" s="326" t="s">
        <v>2040</v>
      </c>
      <c r="V432" s="332" t="s">
        <v>228</v>
      </c>
      <c r="W432" s="333" t="s">
        <v>228</v>
      </c>
    </row>
    <row r="433" spans="1:23" ht="45" customHeight="1" x14ac:dyDescent="0.4">
      <c r="A433" s="323">
        <v>310917</v>
      </c>
      <c r="B433" s="324" t="s">
        <v>4523</v>
      </c>
      <c r="C433" s="325" t="s">
        <v>2731</v>
      </c>
      <c r="D433" s="326" t="s">
        <v>2084</v>
      </c>
      <c r="E433" s="327" t="s">
        <v>1107</v>
      </c>
      <c r="F433" s="327"/>
      <c r="G433" s="327" t="s">
        <v>1108</v>
      </c>
      <c r="H433" s="325" t="s">
        <v>2283</v>
      </c>
      <c r="I433" s="325" t="s">
        <v>228</v>
      </c>
      <c r="J433" s="328">
        <v>31</v>
      </c>
      <c r="K433" s="329">
        <v>3101</v>
      </c>
      <c r="L433" s="325" t="s">
        <v>2725</v>
      </c>
      <c r="M433" s="326" t="s">
        <v>226</v>
      </c>
      <c r="N433" s="326"/>
      <c r="O433" s="330">
        <v>955</v>
      </c>
      <c r="P433" s="330">
        <v>8.52</v>
      </c>
      <c r="Q433" s="331">
        <v>3101</v>
      </c>
      <c r="R433" s="330">
        <v>290000</v>
      </c>
      <c r="S433" s="330">
        <v>22000</v>
      </c>
      <c r="T433" s="326" t="s">
        <v>170</v>
      </c>
      <c r="U433" s="326" t="s">
        <v>2040</v>
      </c>
      <c r="V433" s="332">
        <v>31030</v>
      </c>
      <c r="W433" s="333" t="s">
        <v>228</v>
      </c>
    </row>
    <row r="434" spans="1:23" ht="45" customHeight="1" x14ac:dyDescent="0.4">
      <c r="A434" s="323">
        <v>310919</v>
      </c>
      <c r="B434" s="324" t="s">
        <v>4524</v>
      </c>
      <c r="C434" s="325" t="s">
        <v>2732</v>
      </c>
      <c r="D434" s="326" t="s">
        <v>2084</v>
      </c>
      <c r="E434" s="327" t="s">
        <v>1109</v>
      </c>
      <c r="F434" s="327"/>
      <c r="G434" s="327" t="s">
        <v>1110</v>
      </c>
      <c r="H434" s="325" t="s">
        <v>2283</v>
      </c>
      <c r="I434" s="325" t="s">
        <v>228</v>
      </c>
      <c r="J434" s="328">
        <v>31</v>
      </c>
      <c r="K434" s="329">
        <v>3101</v>
      </c>
      <c r="L434" s="325" t="s">
        <v>2725</v>
      </c>
      <c r="M434" s="326" t="s">
        <v>226</v>
      </c>
      <c r="N434" s="326"/>
      <c r="O434" s="330">
        <v>955</v>
      </c>
      <c r="P434" s="330">
        <v>8.52</v>
      </c>
      <c r="Q434" s="331">
        <v>3101</v>
      </c>
      <c r="R434" s="330">
        <v>290000</v>
      </c>
      <c r="S434" s="330">
        <v>22000</v>
      </c>
      <c r="T434" s="326" t="s">
        <v>170</v>
      </c>
      <c r="U434" s="326" t="s">
        <v>2040</v>
      </c>
      <c r="V434" s="332" t="s">
        <v>228</v>
      </c>
      <c r="W434" s="333" t="s">
        <v>228</v>
      </c>
    </row>
    <row r="435" spans="1:23" ht="45" customHeight="1" x14ac:dyDescent="0.4">
      <c r="A435" s="323">
        <v>310921</v>
      </c>
      <c r="B435" s="324" t="s">
        <v>4525</v>
      </c>
      <c r="C435" s="325" t="s">
        <v>2733</v>
      </c>
      <c r="D435" s="326" t="s">
        <v>2084</v>
      </c>
      <c r="E435" s="327" t="s">
        <v>1111</v>
      </c>
      <c r="F435" s="327"/>
      <c r="G435" s="327" t="s">
        <v>1112</v>
      </c>
      <c r="H435" s="325" t="s">
        <v>2283</v>
      </c>
      <c r="I435" s="325" t="s">
        <v>228</v>
      </c>
      <c r="J435" s="328">
        <v>31</v>
      </c>
      <c r="K435" s="329">
        <v>3102</v>
      </c>
      <c r="L435" s="325" t="s">
        <v>2734</v>
      </c>
      <c r="M435" s="326" t="s">
        <v>226</v>
      </c>
      <c r="N435" s="326"/>
      <c r="O435" s="330">
        <v>611.09</v>
      </c>
      <c r="P435" s="330">
        <v>13.13</v>
      </c>
      <c r="Q435" s="331">
        <v>3102</v>
      </c>
      <c r="R435" s="330">
        <v>1000000</v>
      </c>
      <c r="S435" s="330">
        <v>33000</v>
      </c>
      <c r="T435" s="326" t="s">
        <v>170</v>
      </c>
      <c r="U435" s="326" t="s">
        <v>2040</v>
      </c>
      <c r="V435" s="332">
        <v>31060</v>
      </c>
      <c r="W435" s="333">
        <v>31031</v>
      </c>
    </row>
    <row r="436" spans="1:23" ht="45" customHeight="1" x14ac:dyDescent="0.4">
      <c r="A436" s="323">
        <v>310922</v>
      </c>
      <c r="B436" s="324" t="s">
        <v>4526</v>
      </c>
      <c r="C436" s="325" t="s">
        <v>2735</v>
      </c>
      <c r="D436" s="326" t="s">
        <v>2084</v>
      </c>
      <c r="E436" s="327" t="s">
        <v>1113</v>
      </c>
      <c r="F436" s="327"/>
      <c r="G436" s="327" t="s">
        <v>1114</v>
      </c>
      <c r="H436" s="325" t="s">
        <v>2283</v>
      </c>
      <c r="I436" s="325" t="s">
        <v>228</v>
      </c>
      <c r="J436" s="328">
        <v>31</v>
      </c>
      <c r="K436" s="329">
        <v>3101</v>
      </c>
      <c r="L436" s="325" t="s">
        <v>2725</v>
      </c>
      <c r="M436" s="326" t="s">
        <v>226</v>
      </c>
      <c r="N436" s="326"/>
      <c r="O436" s="330">
        <v>955</v>
      </c>
      <c r="P436" s="330">
        <v>8.52</v>
      </c>
      <c r="Q436" s="331">
        <v>3101</v>
      </c>
      <c r="R436" s="330">
        <v>290000</v>
      </c>
      <c r="S436" s="330">
        <v>22000</v>
      </c>
      <c r="T436" s="326" t="s">
        <v>170</v>
      </c>
      <c r="U436" s="326" t="s">
        <v>2040</v>
      </c>
      <c r="V436" s="332">
        <v>31050</v>
      </c>
      <c r="W436" s="333" t="s">
        <v>228</v>
      </c>
    </row>
    <row r="437" spans="1:23" ht="45" customHeight="1" x14ac:dyDescent="0.4">
      <c r="A437" s="323">
        <v>310923</v>
      </c>
      <c r="B437" s="324" t="s">
        <v>4527</v>
      </c>
      <c r="C437" s="325" t="s">
        <v>2736</v>
      </c>
      <c r="D437" s="326" t="s">
        <v>2084</v>
      </c>
      <c r="E437" s="327" t="s">
        <v>1115</v>
      </c>
      <c r="F437" s="327"/>
      <c r="G437" s="327" t="s">
        <v>1116</v>
      </c>
      <c r="H437" s="325" t="s">
        <v>2283</v>
      </c>
      <c r="I437" s="325" t="s">
        <v>228</v>
      </c>
      <c r="J437" s="328">
        <v>31</v>
      </c>
      <c r="K437" s="329">
        <v>3101</v>
      </c>
      <c r="L437" s="325" t="s">
        <v>2725</v>
      </c>
      <c r="M437" s="326" t="s">
        <v>226</v>
      </c>
      <c r="N437" s="326"/>
      <c r="O437" s="330">
        <v>955</v>
      </c>
      <c r="P437" s="330">
        <v>8.52</v>
      </c>
      <c r="Q437" s="331">
        <v>3101</v>
      </c>
      <c r="R437" s="330">
        <v>290000</v>
      </c>
      <c r="S437" s="330">
        <v>22000</v>
      </c>
      <c r="T437" s="326" t="s">
        <v>170</v>
      </c>
      <c r="U437" s="326" t="s">
        <v>2040</v>
      </c>
      <c r="V437" s="332" t="s">
        <v>228</v>
      </c>
      <c r="W437" s="333" t="s">
        <v>228</v>
      </c>
    </row>
    <row r="438" spans="1:23" ht="45" customHeight="1" x14ac:dyDescent="0.4">
      <c r="A438" s="323">
        <v>310924</v>
      </c>
      <c r="B438" s="324" t="s">
        <v>4528</v>
      </c>
      <c r="C438" s="325" t="s">
        <v>2737</v>
      </c>
      <c r="D438" s="326" t="s">
        <v>2084</v>
      </c>
      <c r="E438" s="327" t="s">
        <v>1117</v>
      </c>
      <c r="F438" s="327"/>
      <c r="G438" s="327" t="s">
        <v>1118</v>
      </c>
      <c r="H438" s="325" t="s">
        <v>2283</v>
      </c>
      <c r="I438" s="325" t="s">
        <v>228</v>
      </c>
      <c r="J438" s="328">
        <v>31</v>
      </c>
      <c r="K438" s="329">
        <v>3101</v>
      </c>
      <c r="L438" s="325" t="s">
        <v>2725</v>
      </c>
      <c r="M438" s="326" t="s">
        <v>226</v>
      </c>
      <c r="N438" s="326"/>
      <c r="O438" s="330">
        <v>955</v>
      </c>
      <c r="P438" s="330">
        <v>8.52</v>
      </c>
      <c r="Q438" s="331">
        <v>3101</v>
      </c>
      <c r="R438" s="330">
        <v>290000</v>
      </c>
      <c r="S438" s="330">
        <v>22000</v>
      </c>
      <c r="T438" s="326" t="s">
        <v>170</v>
      </c>
      <c r="U438" s="326" t="s">
        <v>2040</v>
      </c>
      <c r="V438" s="332" t="s">
        <v>228</v>
      </c>
      <c r="W438" s="333" t="s">
        <v>228</v>
      </c>
    </row>
    <row r="439" spans="1:23" ht="45" customHeight="1" x14ac:dyDescent="0.4">
      <c r="A439" s="323">
        <v>310925</v>
      </c>
      <c r="B439" s="324" t="s">
        <v>4529</v>
      </c>
      <c r="C439" s="325" t="s">
        <v>2738</v>
      </c>
      <c r="D439" s="326" t="s">
        <v>2084</v>
      </c>
      <c r="E439" s="327" t="s">
        <v>1119</v>
      </c>
      <c r="F439" s="327"/>
      <c r="G439" s="327" t="s">
        <v>1120</v>
      </c>
      <c r="H439" s="325" t="s">
        <v>2283</v>
      </c>
      <c r="I439" s="325" t="s">
        <v>228</v>
      </c>
      <c r="J439" s="328">
        <v>31</v>
      </c>
      <c r="K439" s="329">
        <v>3101</v>
      </c>
      <c r="L439" s="325" t="s">
        <v>2725</v>
      </c>
      <c r="M439" s="326" t="s">
        <v>226</v>
      </c>
      <c r="N439" s="326"/>
      <c r="O439" s="330">
        <v>955</v>
      </c>
      <c r="P439" s="330">
        <v>8.52</v>
      </c>
      <c r="Q439" s="331">
        <v>3101</v>
      </c>
      <c r="R439" s="330">
        <v>290000</v>
      </c>
      <c r="S439" s="330">
        <v>22000</v>
      </c>
      <c r="T439" s="326" t="s">
        <v>170</v>
      </c>
      <c r="U439" s="326" t="s">
        <v>2040</v>
      </c>
      <c r="V439" s="332" t="s">
        <v>228</v>
      </c>
      <c r="W439" s="333" t="s">
        <v>228</v>
      </c>
    </row>
    <row r="440" spans="1:23" ht="45" customHeight="1" x14ac:dyDescent="0.4">
      <c r="A440" s="323">
        <v>310926</v>
      </c>
      <c r="B440" s="324" t="s">
        <v>4530</v>
      </c>
      <c r="C440" s="325" t="s">
        <v>2739</v>
      </c>
      <c r="D440" s="326" t="s">
        <v>2084</v>
      </c>
      <c r="E440" s="327" t="s">
        <v>1121</v>
      </c>
      <c r="F440" s="327"/>
      <c r="G440" s="327" t="s">
        <v>1122</v>
      </c>
      <c r="H440" s="325" t="s">
        <v>2283</v>
      </c>
      <c r="I440" s="325" t="s">
        <v>228</v>
      </c>
      <c r="J440" s="328">
        <v>31</v>
      </c>
      <c r="K440" s="329">
        <v>3101</v>
      </c>
      <c r="L440" s="325" t="s">
        <v>2725</v>
      </c>
      <c r="M440" s="326" t="s">
        <v>226</v>
      </c>
      <c r="N440" s="326"/>
      <c r="O440" s="330">
        <v>955</v>
      </c>
      <c r="P440" s="330">
        <v>8.52</v>
      </c>
      <c r="Q440" s="331">
        <v>3101</v>
      </c>
      <c r="R440" s="330">
        <v>290000</v>
      </c>
      <c r="S440" s="330">
        <v>22000</v>
      </c>
      <c r="T440" s="326" t="s">
        <v>170</v>
      </c>
      <c r="U440" s="326" t="s">
        <v>2040</v>
      </c>
      <c r="V440" s="332" t="s">
        <v>228</v>
      </c>
      <c r="W440" s="333" t="s">
        <v>228</v>
      </c>
    </row>
    <row r="441" spans="1:23" ht="45" customHeight="1" x14ac:dyDescent="0.4">
      <c r="A441" s="323">
        <v>310927</v>
      </c>
      <c r="B441" s="324" t="s">
        <v>4531</v>
      </c>
      <c r="C441" s="325" t="s">
        <v>2740</v>
      </c>
      <c r="D441" s="326" t="s">
        <v>2084</v>
      </c>
      <c r="E441" s="327" t="s">
        <v>1123</v>
      </c>
      <c r="F441" s="327"/>
      <c r="G441" s="327" t="s">
        <v>1124</v>
      </c>
      <c r="H441" s="325" t="s">
        <v>2283</v>
      </c>
      <c r="I441" s="325" t="s">
        <v>228</v>
      </c>
      <c r="J441" s="328">
        <v>31</v>
      </c>
      <c r="K441" s="329">
        <v>3101</v>
      </c>
      <c r="L441" s="325" t="s">
        <v>2725</v>
      </c>
      <c r="M441" s="326" t="s">
        <v>226</v>
      </c>
      <c r="N441" s="326"/>
      <c r="O441" s="330">
        <v>955</v>
      </c>
      <c r="P441" s="330">
        <v>8.52</v>
      </c>
      <c r="Q441" s="331">
        <v>3101</v>
      </c>
      <c r="R441" s="330">
        <v>290000</v>
      </c>
      <c r="S441" s="330">
        <v>22000</v>
      </c>
      <c r="T441" s="326" t="s">
        <v>170</v>
      </c>
      <c r="U441" s="326" t="s">
        <v>2040</v>
      </c>
      <c r="V441" s="332" t="s">
        <v>228</v>
      </c>
      <c r="W441" s="333" t="s">
        <v>228</v>
      </c>
    </row>
    <row r="442" spans="1:23" ht="45" customHeight="1" x14ac:dyDescent="0.4">
      <c r="A442" s="323">
        <v>310928</v>
      </c>
      <c r="B442" s="324" t="s">
        <v>4532</v>
      </c>
      <c r="C442" s="325" t="s">
        <v>2741</v>
      </c>
      <c r="D442" s="326" t="s">
        <v>2084</v>
      </c>
      <c r="E442" s="327" t="s">
        <v>1125</v>
      </c>
      <c r="F442" s="327"/>
      <c r="G442" s="327" t="s">
        <v>1126</v>
      </c>
      <c r="H442" s="325" t="s">
        <v>2283</v>
      </c>
      <c r="I442" s="325" t="s">
        <v>228</v>
      </c>
      <c r="J442" s="328">
        <v>31</v>
      </c>
      <c r="K442" s="329">
        <v>3101</v>
      </c>
      <c r="L442" s="325" t="s">
        <v>2725</v>
      </c>
      <c r="M442" s="326" t="s">
        <v>226</v>
      </c>
      <c r="N442" s="326"/>
      <c r="O442" s="330">
        <v>955</v>
      </c>
      <c r="P442" s="330">
        <v>8.52</v>
      </c>
      <c r="Q442" s="331">
        <v>3101</v>
      </c>
      <c r="R442" s="330">
        <v>290000</v>
      </c>
      <c r="S442" s="330">
        <v>22000</v>
      </c>
      <c r="T442" s="326" t="s">
        <v>170</v>
      </c>
      <c r="U442" s="326" t="s">
        <v>2040</v>
      </c>
      <c r="V442" s="332" t="s">
        <v>228</v>
      </c>
      <c r="W442" s="333" t="s">
        <v>228</v>
      </c>
    </row>
    <row r="443" spans="1:23" ht="45" customHeight="1" x14ac:dyDescent="0.4">
      <c r="A443" s="323">
        <v>310929</v>
      </c>
      <c r="B443" s="324" t="s">
        <v>4533</v>
      </c>
      <c r="C443" s="325" t="s">
        <v>2742</v>
      </c>
      <c r="D443" s="326" t="s">
        <v>2084</v>
      </c>
      <c r="E443" s="327" t="s">
        <v>1127</v>
      </c>
      <c r="F443" s="327"/>
      <c r="G443" s="327" t="s">
        <v>1128</v>
      </c>
      <c r="H443" s="325" t="s">
        <v>2283</v>
      </c>
      <c r="I443" s="325" t="s">
        <v>228</v>
      </c>
      <c r="J443" s="328">
        <v>31</v>
      </c>
      <c r="K443" s="329">
        <v>3101</v>
      </c>
      <c r="L443" s="325" t="s">
        <v>2725</v>
      </c>
      <c r="M443" s="326" t="s">
        <v>226</v>
      </c>
      <c r="N443" s="326"/>
      <c r="O443" s="330">
        <v>955</v>
      </c>
      <c r="P443" s="330">
        <v>8.52</v>
      </c>
      <c r="Q443" s="331">
        <v>3101</v>
      </c>
      <c r="R443" s="330">
        <v>290000</v>
      </c>
      <c r="S443" s="330">
        <v>22000</v>
      </c>
      <c r="T443" s="326" t="s">
        <v>170</v>
      </c>
      <c r="U443" s="326" t="s">
        <v>2040</v>
      </c>
      <c r="V443" s="332" t="s">
        <v>228</v>
      </c>
      <c r="W443" s="333" t="s">
        <v>228</v>
      </c>
    </row>
    <row r="444" spans="1:23" ht="45" customHeight="1" x14ac:dyDescent="0.4">
      <c r="A444" s="323">
        <v>310931</v>
      </c>
      <c r="B444" s="324" t="s">
        <v>4534</v>
      </c>
      <c r="C444" s="325" t="s">
        <v>2743</v>
      </c>
      <c r="D444" s="326" t="s">
        <v>2084</v>
      </c>
      <c r="E444" s="327" t="s">
        <v>1129</v>
      </c>
      <c r="F444" s="327"/>
      <c r="G444" s="327" t="s">
        <v>1130</v>
      </c>
      <c r="H444" s="325" t="s">
        <v>2283</v>
      </c>
      <c r="I444" s="325" t="s">
        <v>228</v>
      </c>
      <c r="J444" s="328">
        <v>31</v>
      </c>
      <c r="K444" s="329">
        <v>3101</v>
      </c>
      <c r="L444" s="325" t="s">
        <v>2725</v>
      </c>
      <c r="M444" s="326" t="s">
        <v>226</v>
      </c>
      <c r="N444" s="326"/>
      <c r="O444" s="330">
        <v>955</v>
      </c>
      <c r="P444" s="330">
        <v>8.52</v>
      </c>
      <c r="Q444" s="331">
        <v>3101</v>
      </c>
      <c r="R444" s="330">
        <v>290000</v>
      </c>
      <c r="S444" s="330">
        <v>22000</v>
      </c>
      <c r="T444" s="326" t="s">
        <v>170</v>
      </c>
      <c r="U444" s="326" t="s">
        <v>2040</v>
      </c>
      <c r="V444" s="332" t="s">
        <v>228</v>
      </c>
      <c r="W444" s="333" t="s">
        <v>228</v>
      </c>
    </row>
    <row r="445" spans="1:23" ht="45" customHeight="1" x14ac:dyDescent="0.4">
      <c r="A445" s="323">
        <v>310932</v>
      </c>
      <c r="B445" s="324" t="s">
        <v>4535</v>
      </c>
      <c r="C445" s="325" t="s">
        <v>2744</v>
      </c>
      <c r="D445" s="326" t="s">
        <v>2084</v>
      </c>
      <c r="E445" s="327" t="s">
        <v>1131</v>
      </c>
      <c r="F445" s="327"/>
      <c r="G445" s="327" t="s">
        <v>1132</v>
      </c>
      <c r="H445" s="325" t="s">
        <v>2283</v>
      </c>
      <c r="I445" s="325" t="s">
        <v>228</v>
      </c>
      <c r="J445" s="328">
        <v>31</v>
      </c>
      <c r="K445" s="329">
        <v>3101</v>
      </c>
      <c r="L445" s="325" t="s">
        <v>2725</v>
      </c>
      <c r="M445" s="326" t="s">
        <v>226</v>
      </c>
      <c r="N445" s="326"/>
      <c r="O445" s="330">
        <v>955</v>
      </c>
      <c r="P445" s="330">
        <v>8.52</v>
      </c>
      <c r="Q445" s="331">
        <v>3101</v>
      </c>
      <c r="R445" s="330">
        <v>290000</v>
      </c>
      <c r="S445" s="330">
        <v>22000</v>
      </c>
      <c r="T445" s="326" t="s">
        <v>170</v>
      </c>
      <c r="U445" s="326" t="s">
        <v>2040</v>
      </c>
      <c r="V445" s="332" t="s">
        <v>228</v>
      </c>
      <c r="W445" s="333" t="s">
        <v>228</v>
      </c>
    </row>
    <row r="446" spans="1:23" ht="45" customHeight="1" x14ac:dyDescent="0.4">
      <c r="A446" s="323">
        <v>310933</v>
      </c>
      <c r="B446" s="324" t="s">
        <v>4536</v>
      </c>
      <c r="C446" s="325" t="s">
        <v>2745</v>
      </c>
      <c r="D446" s="326" t="s">
        <v>2084</v>
      </c>
      <c r="E446" s="327" t="s">
        <v>1133</v>
      </c>
      <c r="F446" s="327"/>
      <c r="G446" s="327" t="s">
        <v>1134</v>
      </c>
      <c r="H446" s="325" t="s">
        <v>2283</v>
      </c>
      <c r="I446" s="325" t="s">
        <v>228</v>
      </c>
      <c r="J446" s="328">
        <v>31</v>
      </c>
      <c r="K446" s="329">
        <v>3101</v>
      </c>
      <c r="L446" s="325" t="s">
        <v>2725</v>
      </c>
      <c r="M446" s="326" t="s">
        <v>226</v>
      </c>
      <c r="N446" s="326"/>
      <c r="O446" s="330">
        <v>955</v>
      </c>
      <c r="P446" s="330">
        <v>8.52</v>
      </c>
      <c r="Q446" s="331">
        <v>3101</v>
      </c>
      <c r="R446" s="330">
        <v>290000</v>
      </c>
      <c r="S446" s="330">
        <v>22000</v>
      </c>
      <c r="T446" s="326" t="s">
        <v>170</v>
      </c>
      <c r="U446" s="326" t="s">
        <v>2040</v>
      </c>
      <c r="V446" s="332" t="s">
        <v>228</v>
      </c>
      <c r="W446" s="333" t="s">
        <v>2746</v>
      </c>
    </row>
    <row r="447" spans="1:23" ht="45" customHeight="1" x14ac:dyDescent="0.4">
      <c r="A447" s="323">
        <v>310943</v>
      </c>
      <c r="B447" s="324" t="s">
        <v>4537</v>
      </c>
      <c r="C447" s="325" t="s">
        <v>2747</v>
      </c>
      <c r="D447" s="326" t="s">
        <v>2084</v>
      </c>
      <c r="E447" s="327" t="s">
        <v>1135</v>
      </c>
      <c r="F447" s="327"/>
      <c r="G447" s="327" t="s">
        <v>1136</v>
      </c>
      <c r="H447" s="325" t="s">
        <v>2283</v>
      </c>
      <c r="I447" s="325" t="s">
        <v>228</v>
      </c>
      <c r="J447" s="328">
        <v>31</v>
      </c>
      <c r="K447" s="329">
        <v>3101</v>
      </c>
      <c r="L447" s="325" t="s">
        <v>2725</v>
      </c>
      <c r="M447" s="326" t="s">
        <v>226</v>
      </c>
      <c r="N447" s="326"/>
      <c r="O447" s="330">
        <v>955</v>
      </c>
      <c r="P447" s="330">
        <v>8.52</v>
      </c>
      <c r="Q447" s="331">
        <v>3101</v>
      </c>
      <c r="R447" s="330">
        <v>290000</v>
      </c>
      <c r="S447" s="330">
        <v>22000</v>
      </c>
      <c r="T447" s="326" t="s">
        <v>170</v>
      </c>
      <c r="U447" s="326" t="s">
        <v>2040</v>
      </c>
      <c r="V447" s="332">
        <v>31030</v>
      </c>
      <c r="W447" s="333" t="s">
        <v>228</v>
      </c>
    </row>
    <row r="448" spans="1:23" ht="45" customHeight="1" x14ac:dyDescent="0.4">
      <c r="A448" s="323">
        <v>311114</v>
      </c>
      <c r="B448" s="324" t="s">
        <v>4538</v>
      </c>
      <c r="C448" s="325" t="s">
        <v>2748</v>
      </c>
      <c r="D448" s="326" t="s">
        <v>2084</v>
      </c>
      <c r="E448" s="327" t="s">
        <v>1137</v>
      </c>
      <c r="F448" s="327"/>
      <c r="G448" s="327" t="s">
        <v>1138</v>
      </c>
      <c r="H448" s="325" t="s">
        <v>2283</v>
      </c>
      <c r="I448" s="325" t="s">
        <v>228</v>
      </c>
      <c r="J448" s="328">
        <v>31</v>
      </c>
      <c r="K448" s="329">
        <v>3111</v>
      </c>
      <c r="L448" s="325" t="s">
        <v>2604</v>
      </c>
      <c r="M448" s="326" t="s">
        <v>226</v>
      </c>
      <c r="N448" s="326"/>
      <c r="O448" s="330">
        <v>512.75</v>
      </c>
      <c r="P448" s="330">
        <v>8.33</v>
      </c>
      <c r="Q448" s="331">
        <v>3111</v>
      </c>
      <c r="R448" s="330">
        <v>230000</v>
      </c>
      <c r="S448" s="330">
        <v>31000</v>
      </c>
      <c r="T448" s="326" t="s">
        <v>170</v>
      </c>
      <c r="U448" s="326" t="s">
        <v>2040</v>
      </c>
      <c r="V448" s="332">
        <v>31110</v>
      </c>
      <c r="W448" s="333">
        <v>31110</v>
      </c>
    </row>
    <row r="449" spans="1:23" ht="45" customHeight="1" x14ac:dyDescent="0.4">
      <c r="A449" s="323">
        <v>311115</v>
      </c>
      <c r="B449" s="324" t="s">
        <v>4539</v>
      </c>
      <c r="C449" s="325" t="s">
        <v>2749</v>
      </c>
      <c r="D449" s="326" t="s">
        <v>2084</v>
      </c>
      <c r="E449" s="327" t="s">
        <v>1139</v>
      </c>
      <c r="F449" s="327"/>
      <c r="G449" s="327" t="s">
        <v>1140</v>
      </c>
      <c r="H449" s="325" t="s">
        <v>2283</v>
      </c>
      <c r="I449" s="325" t="s">
        <v>228</v>
      </c>
      <c r="J449" s="328">
        <v>31</v>
      </c>
      <c r="K449" s="329">
        <v>3111</v>
      </c>
      <c r="L449" s="325" t="s">
        <v>2604</v>
      </c>
      <c r="M449" s="326" t="s">
        <v>226</v>
      </c>
      <c r="N449" s="326"/>
      <c r="O449" s="330">
        <v>512.75</v>
      </c>
      <c r="P449" s="330">
        <v>8.33</v>
      </c>
      <c r="Q449" s="331">
        <v>3111</v>
      </c>
      <c r="R449" s="330">
        <v>230000</v>
      </c>
      <c r="S449" s="330">
        <v>31000</v>
      </c>
      <c r="T449" s="326" t="s">
        <v>170</v>
      </c>
      <c r="U449" s="326" t="s">
        <v>2040</v>
      </c>
      <c r="V449" s="332">
        <v>31110</v>
      </c>
      <c r="W449" s="333">
        <v>31110</v>
      </c>
    </row>
    <row r="450" spans="1:23" ht="45" customHeight="1" x14ac:dyDescent="0.4">
      <c r="A450" s="323">
        <v>311171</v>
      </c>
      <c r="B450" s="324" t="s">
        <v>4540</v>
      </c>
      <c r="C450" s="325" t="s">
        <v>2750</v>
      </c>
      <c r="D450" s="326" t="s">
        <v>2084</v>
      </c>
      <c r="E450" s="327" t="s">
        <v>1141</v>
      </c>
      <c r="F450" s="327"/>
      <c r="G450" s="327" t="s">
        <v>1142</v>
      </c>
      <c r="H450" s="325" t="s">
        <v>2283</v>
      </c>
      <c r="I450" s="325" t="s">
        <v>228</v>
      </c>
      <c r="J450" s="328">
        <v>31</v>
      </c>
      <c r="K450" s="329">
        <v>3111</v>
      </c>
      <c r="L450" s="325" t="s">
        <v>2604</v>
      </c>
      <c r="M450" s="326" t="s">
        <v>226</v>
      </c>
      <c r="N450" s="326"/>
      <c r="O450" s="330">
        <v>512.75</v>
      </c>
      <c r="P450" s="330">
        <v>8.33</v>
      </c>
      <c r="Q450" s="331">
        <v>3111</v>
      </c>
      <c r="R450" s="330">
        <v>230000</v>
      </c>
      <c r="S450" s="330">
        <v>31000</v>
      </c>
      <c r="T450" s="326" t="s">
        <v>170</v>
      </c>
      <c r="U450" s="326" t="s">
        <v>2040</v>
      </c>
      <c r="V450" s="332">
        <v>31110</v>
      </c>
      <c r="W450" s="333">
        <v>31125</v>
      </c>
    </row>
    <row r="451" spans="1:23" ht="45" customHeight="1" x14ac:dyDescent="0.4">
      <c r="A451" s="323">
        <v>311173</v>
      </c>
      <c r="B451" s="324" t="s">
        <v>4541</v>
      </c>
      <c r="C451" s="325" t="s">
        <v>2751</v>
      </c>
      <c r="D451" s="326" t="s">
        <v>2084</v>
      </c>
      <c r="E451" s="327" t="s">
        <v>1143</v>
      </c>
      <c r="F451" s="327"/>
      <c r="G451" s="327" t="s">
        <v>1144</v>
      </c>
      <c r="H451" s="325" t="s">
        <v>2283</v>
      </c>
      <c r="I451" s="325" t="s">
        <v>228</v>
      </c>
      <c r="J451" s="328">
        <v>31</v>
      </c>
      <c r="K451" s="329">
        <v>3111</v>
      </c>
      <c r="L451" s="325" t="s">
        <v>2604</v>
      </c>
      <c r="M451" s="326" t="s">
        <v>226</v>
      </c>
      <c r="N451" s="326"/>
      <c r="O451" s="330">
        <v>512.75</v>
      </c>
      <c r="P451" s="330">
        <v>8.33</v>
      </c>
      <c r="Q451" s="331">
        <v>3111</v>
      </c>
      <c r="R451" s="330">
        <v>230000</v>
      </c>
      <c r="S451" s="330">
        <v>31000</v>
      </c>
      <c r="T451" s="326" t="s">
        <v>170</v>
      </c>
      <c r="U451" s="326" t="s">
        <v>2040</v>
      </c>
      <c r="V451" s="332">
        <v>31110</v>
      </c>
      <c r="W451" s="333">
        <v>31125</v>
      </c>
    </row>
    <row r="452" spans="1:23" ht="45" customHeight="1" x14ac:dyDescent="0.4">
      <c r="A452" s="323">
        <v>311174</v>
      </c>
      <c r="B452" s="324" t="s">
        <v>4542</v>
      </c>
      <c r="C452" s="325" t="s">
        <v>2752</v>
      </c>
      <c r="D452" s="326" t="s">
        <v>2084</v>
      </c>
      <c r="E452" s="327" t="s">
        <v>1145</v>
      </c>
      <c r="F452" s="327"/>
      <c r="G452" s="327" t="s">
        <v>1146</v>
      </c>
      <c r="H452" s="325" t="s">
        <v>2283</v>
      </c>
      <c r="I452" s="325" t="s">
        <v>228</v>
      </c>
      <c r="J452" s="328">
        <v>31</v>
      </c>
      <c r="K452" s="329">
        <v>3111</v>
      </c>
      <c r="L452" s="325" t="s">
        <v>2604</v>
      </c>
      <c r="M452" s="326" t="s">
        <v>226</v>
      </c>
      <c r="N452" s="326"/>
      <c r="O452" s="330">
        <v>512.75</v>
      </c>
      <c r="P452" s="330">
        <v>8.33</v>
      </c>
      <c r="Q452" s="331">
        <v>3111</v>
      </c>
      <c r="R452" s="330">
        <v>230000</v>
      </c>
      <c r="S452" s="330">
        <v>31000</v>
      </c>
      <c r="T452" s="326" t="s">
        <v>170</v>
      </c>
      <c r="U452" s="326" t="s">
        <v>2040</v>
      </c>
      <c r="V452" s="332">
        <v>31110</v>
      </c>
      <c r="W452" s="333">
        <v>31125</v>
      </c>
    </row>
    <row r="453" spans="1:23" ht="45" customHeight="1" x14ac:dyDescent="0.4">
      <c r="A453" s="323">
        <v>312472</v>
      </c>
      <c r="B453" s="324" t="s">
        <v>4543</v>
      </c>
      <c r="C453" s="325" t="s">
        <v>2753</v>
      </c>
      <c r="D453" s="326" t="s">
        <v>2084</v>
      </c>
      <c r="E453" s="327" t="s">
        <v>1147</v>
      </c>
      <c r="F453" s="327"/>
      <c r="G453" s="327" t="s">
        <v>1148</v>
      </c>
      <c r="H453" s="325" t="s">
        <v>2283</v>
      </c>
      <c r="I453" s="325" t="s">
        <v>228</v>
      </c>
      <c r="J453" s="328">
        <v>31</v>
      </c>
      <c r="K453" s="329">
        <v>3121</v>
      </c>
      <c r="L453" s="325" t="s">
        <v>2754</v>
      </c>
      <c r="M453" s="326" t="s">
        <v>226</v>
      </c>
      <c r="N453" s="326"/>
      <c r="O453" s="330">
        <v>508.75</v>
      </c>
      <c r="P453" s="330">
        <v>7.66</v>
      </c>
      <c r="Q453" s="331">
        <v>3121</v>
      </c>
      <c r="R453" s="330">
        <v>220000</v>
      </c>
      <c r="S453" s="330">
        <v>19000</v>
      </c>
      <c r="T453" s="326" t="s">
        <v>170</v>
      </c>
      <c r="U453" s="326" t="s">
        <v>2040</v>
      </c>
      <c r="V453" s="332">
        <v>31210</v>
      </c>
      <c r="W453" s="333" t="s">
        <v>2755</v>
      </c>
    </row>
    <row r="454" spans="1:23" ht="45" customHeight="1" x14ac:dyDescent="0.4">
      <c r="A454" s="323">
        <v>312476</v>
      </c>
      <c r="B454" s="324" t="s">
        <v>4544</v>
      </c>
      <c r="C454" s="325" t="s">
        <v>2756</v>
      </c>
      <c r="D454" s="326" t="s">
        <v>2084</v>
      </c>
      <c r="E454" s="327" t="s">
        <v>1149</v>
      </c>
      <c r="F454" s="327"/>
      <c r="G454" s="327" t="s">
        <v>1150</v>
      </c>
      <c r="H454" s="325" t="s">
        <v>2283</v>
      </c>
      <c r="I454" s="325" t="s">
        <v>228</v>
      </c>
      <c r="J454" s="328">
        <v>31</v>
      </c>
      <c r="K454" s="329">
        <v>3121</v>
      </c>
      <c r="L454" s="325" t="s">
        <v>2754</v>
      </c>
      <c r="M454" s="326" t="s">
        <v>226</v>
      </c>
      <c r="N454" s="326"/>
      <c r="O454" s="330">
        <v>508.75</v>
      </c>
      <c r="P454" s="330">
        <v>7.66</v>
      </c>
      <c r="Q454" s="331">
        <v>3121</v>
      </c>
      <c r="R454" s="330">
        <v>220000</v>
      </c>
      <c r="S454" s="330">
        <v>19000</v>
      </c>
      <c r="T454" s="326" t="s">
        <v>170</v>
      </c>
      <c r="U454" s="326" t="s">
        <v>2040</v>
      </c>
      <c r="V454" s="332">
        <v>31210</v>
      </c>
      <c r="W454" s="333" t="s">
        <v>2757</v>
      </c>
    </row>
    <row r="455" spans="1:23" ht="45" customHeight="1" x14ac:dyDescent="0.4">
      <c r="A455" s="323">
        <v>312477</v>
      </c>
      <c r="B455" s="324" t="s">
        <v>4545</v>
      </c>
      <c r="C455" s="325" t="s">
        <v>2758</v>
      </c>
      <c r="D455" s="326" t="s">
        <v>2084</v>
      </c>
      <c r="E455" s="327" t="s">
        <v>1151</v>
      </c>
      <c r="F455" s="327"/>
      <c r="G455" s="327" t="s">
        <v>1152</v>
      </c>
      <c r="H455" s="325" t="s">
        <v>2283</v>
      </c>
      <c r="I455" s="325" t="s">
        <v>228</v>
      </c>
      <c r="J455" s="328">
        <v>31</v>
      </c>
      <c r="K455" s="329">
        <v>3121</v>
      </c>
      <c r="L455" s="325" t="s">
        <v>2754</v>
      </c>
      <c r="M455" s="326" t="s">
        <v>226</v>
      </c>
      <c r="N455" s="326"/>
      <c r="O455" s="330">
        <v>508.75</v>
      </c>
      <c r="P455" s="330">
        <v>7.66</v>
      </c>
      <c r="Q455" s="331">
        <v>3121</v>
      </c>
      <c r="R455" s="330">
        <v>220000</v>
      </c>
      <c r="S455" s="330">
        <v>19000</v>
      </c>
      <c r="T455" s="326" t="s">
        <v>170</v>
      </c>
      <c r="U455" s="326" t="s">
        <v>2040</v>
      </c>
      <c r="V455" s="332">
        <v>31210</v>
      </c>
      <c r="W455" s="333" t="s">
        <v>2757</v>
      </c>
    </row>
    <row r="456" spans="1:23" ht="45" customHeight="1" x14ac:dyDescent="0.4">
      <c r="A456" s="323">
        <v>312941</v>
      </c>
      <c r="B456" s="324" t="s">
        <v>4546</v>
      </c>
      <c r="C456" s="325" t="s">
        <v>2759</v>
      </c>
      <c r="D456" s="326" t="s">
        <v>2084</v>
      </c>
      <c r="E456" s="327" t="s">
        <v>1153</v>
      </c>
      <c r="F456" s="327"/>
      <c r="G456" s="327" t="s">
        <v>1154</v>
      </c>
      <c r="H456" s="325" t="s">
        <v>2283</v>
      </c>
      <c r="I456" s="325" t="s">
        <v>228</v>
      </c>
      <c r="J456" s="328">
        <v>31</v>
      </c>
      <c r="K456" s="329">
        <v>3121</v>
      </c>
      <c r="L456" s="325" t="s">
        <v>2754</v>
      </c>
      <c r="M456" s="326" t="s">
        <v>226</v>
      </c>
      <c r="N456" s="326"/>
      <c r="O456" s="330">
        <v>508.75</v>
      </c>
      <c r="P456" s="330">
        <v>7.66</v>
      </c>
      <c r="Q456" s="331">
        <v>3121</v>
      </c>
      <c r="R456" s="330">
        <v>220000</v>
      </c>
      <c r="S456" s="330">
        <v>19000</v>
      </c>
      <c r="T456" s="326" t="s">
        <v>170</v>
      </c>
      <c r="U456" s="326" t="s">
        <v>2040</v>
      </c>
      <c r="V456" s="332">
        <v>31210</v>
      </c>
      <c r="W456" s="333">
        <v>31225</v>
      </c>
    </row>
    <row r="457" spans="1:23" ht="45" customHeight="1" x14ac:dyDescent="0.4">
      <c r="A457" s="323">
        <v>315222</v>
      </c>
      <c r="B457" s="324" t="s">
        <v>4547</v>
      </c>
      <c r="C457" s="325" t="s">
        <v>2760</v>
      </c>
      <c r="D457" s="326" t="s">
        <v>2084</v>
      </c>
      <c r="E457" s="327" t="s">
        <v>1155</v>
      </c>
      <c r="F457" s="327"/>
      <c r="G457" s="327" t="s">
        <v>1156</v>
      </c>
      <c r="H457" s="325" t="s">
        <v>2283</v>
      </c>
      <c r="I457" s="325" t="s">
        <v>228</v>
      </c>
      <c r="J457" s="328">
        <v>31</v>
      </c>
      <c r="K457" s="329">
        <v>3151</v>
      </c>
      <c r="L457" s="325" t="s">
        <v>2761</v>
      </c>
      <c r="M457" s="326" t="s">
        <v>226</v>
      </c>
      <c r="N457" s="326"/>
      <c r="O457" s="330">
        <v>611.1</v>
      </c>
      <c r="P457" s="330">
        <v>7.51</v>
      </c>
      <c r="Q457" s="331">
        <v>3151</v>
      </c>
      <c r="R457" s="330">
        <v>140000</v>
      </c>
      <c r="S457" s="330">
        <v>9000</v>
      </c>
      <c r="T457" s="326" t="s">
        <v>170</v>
      </c>
      <c r="U457" s="326" t="s">
        <v>2040</v>
      </c>
      <c r="V457" s="332">
        <v>31510</v>
      </c>
      <c r="W457" s="333" t="s">
        <v>228</v>
      </c>
    </row>
    <row r="458" spans="1:23" ht="45" customHeight="1" x14ac:dyDescent="0.4">
      <c r="A458" s="323">
        <v>315236</v>
      </c>
      <c r="B458" s="324" t="s">
        <v>4548</v>
      </c>
      <c r="C458" s="325" t="s">
        <v>2762</v>
      </c>
      <c r="D458" s="326" t="s">
        <v>2084</v>
      </c>
      <c r="E458" s="327" t="s">
        <v>1157</v>
      </c>
      <c r="F458" s="327"/>
      <c r="G458" s="327" t="s">
        <v>1158</v>
      </c>
      <c r="H458" s="325" t="s">
        <v>2283</v>
      </c>
      <c r="I458" s="325" t="s">
        <v>228</v>
      </c>
      <c r="J458" s="328">
        <v>31</v>
      </c>
      <c r="K458" s="329">
        <v>3151</v>
      </c>
      <c r="L458" s="325" t="s">
        <v>2761</v>
      </c>
      <c r="M458" s="326" t="s">
        <v>226</v>
      </c>
      <c r="N458" s="326"/>
      <c r="O458" s="330">
        <v>611.1</v>
      </c>
      <c r="P458" s="330">
        <v>7.51</v>
      </c>
      <c r="Q458" s="331">
        <v>3151</v>
      </c>
      <c r="R458" s="330">
        <v>140000</v>
      </c>
      <c r="S458" s="330">
        <v>9000</v>
      </c>
      <c r="T458" s="326" t="s">
        <v>170</v>
      </c>
      <c r="U458" s="326" t="s">
        <v>2040</v>
      </c>
      <c r="V458" s="332">
        <v>31510</v>
      </c>
      <c r="W458" s="333" t="s">
        <v>228</v>
      </c>
    </row>
    <row r="459" spans="1:23" ht="45" customHeight="1" x14ac:dyDescent="0.4">
      <c r="A459" s="323">
        <v>315237</v>
      </c>
      <c r="B459" s="324" t="s">
        <v>4549</v>
      </c>
      <c r="C459" s="325" t="s">
        <v>2763</v>
      </c>
      <c r="D459" s="326" t="s">
        <v>2084</v>
      </c>
      <c r="E459" s="327" t="s">
        <v>1159</v>
      </c>
      <c r="F459" s="327"/>
      <c r="G459" s="327" t="s">
        <v>1160</v>
      </c>
      <c r="H459" s="325" t="s">
        <v>2283</v>
      </c>
      <c r="I459" s="325" t="s">
        <v>228</v>
      </c>
      <c r="J459" s="328">
        <v>31</v>
      </c>
      <c r="K459" s="329">
        <v>3151</v>
      </c>
      <c r="L459" s="325" t="s">
        <v>2761</v>
      </c>
      <c r="M459" s="326" t="s">
        <v>226</v>
      </c>
      <c r="N459" s="326"/>
      <c r="O459" s="330">
        <v>611.1</v>
      </c>
      <c r="P459" s="330">
        <v>7.51</v>
      </c>
      <c r="Q459" s="331">
        <v>3151</v>
      </c>
      <c r="R459" s="330">
        <v>140000</v>
      </c>
      <c r="S459" s="330">
        <v>9000</v>
      </c>
      <c r="T459" s="326" t="s">
        <v>170</v>
      </c>
      <c r="U459" s="326" t="s">
        <v>2040</v>
      </c>
      <c r="V459" s="332">
        <v>31510</v>
      </c>
      <c r="W459" s="333" t="s">
        <v>228</v>
      </c>
    </row>
    <row r="460" spans="1:23" ht="45" customHeight="1" x14ac:dyDescent="0.4">
      <c r="A460" s="323">
        <v>315944</v>
      </c>
      <c r="B460" s="324" t="s">
        <v>4550</v>
      </c>
      <c r="C460" s="325" t="s">
        <v>2764</v>
      </c>
      <c r="D460" s="326" t="s">
        <v>2084</v>
      </c>
      <c r="E460" s="327" t="s">
        <v>1161</v>
      </c>
      <c r="F460" s="327"/>
      <c r="G460" s="327" t="s">
        <v>1162</v>
      </c>
      <c r="H460" s="325" t="s">
        <v>2283</v>
      </c>
      <c r="I460" s="325" t="s">
        <v>228</v>
      </c>
      <c r="J460" s="328">
        <v>31</v>
      </c>
      <c r="K460" s="329">
        <v>3151</v>
      </c>
      <c r="L460" s="325" t="s">
        <v>2761</v>
      </c>
      <c r="M460" s="326" t="s">
        <v>226</v>
      </c>
      <c r="N460" s="326"/>
      <c r="O460" s="330">
        <v>611.1</v>
      </c>
      <c r="P460" s="330">
        <v>7.51</v>
      </c>
      <c r="Q460" s="331">
        <v>3151</v>
      </c>
      <c r="R460" s="330">
        <v>140000</v>
      </c>
      <c r="S460" s="330">
        <v>9000</v>
      </c>
      <c r="T460" s="326" t="s">
        <v>170</v>
      </c>
      <c r="U460" s="326" t="s">
        <v>2040</v>
      </c>
      <c r="V460" s="332">
        <v>31510</v>
      </c>
      <c r="W460" s="333" t="s">
        <v>228</v>
      </c>
    </row>
    <row r="461" spans="1:23" ht="45" customHeight="1" x14ac:dyDescent="0.4">
      <c r="A461" s="323">
        <v>316333</v>
      </c>
      <c r="B461" s="324" t="s">
        <v>4551</v>
      </c>
      <c r="C461" s="325" t="s">
        <v>2765</v>
      </c>
      <c r="D461" s="326" t="s">
        <v>2084</v>
      </c>
      <c r="E461" s="327" t="s">
        <v>1163</v>
      </c>
      <c r="F461" s="327"/>
      <c r="G461" s="327" t="s">
        <v>1164</v>
      </c>
      <c r="H461" s="325" t="s">
        <v>2283</v>
      </c>
      <c r="I461" s="325" t="s">
        <v>228</v>
      </c>
      <c r="J461" s="328">
        <v>31</v>
      </c>
      <c r="K461" s="329">
        <v>3161</v>
      </c>
      <c r="L461" s="325" t="s">
        <v>2766</v>
      </c>
      <c r="M461" s="326" t="s">
        <v>226</v>
      </c>
      <c r="N461" s="326"/>
      <c r="O461" s="330">
        <v>585.44000000000005</v>
      </c>
      <c r="P461" s="330">
        <v>11.38</v>
      </c>
      <c r="Q461" s="331">
        <v>3161</v>
      </c>
      <c r="R461" s="330">
        <v>53000</v>
      </c>
      <c r="S461" s="330">
        <v>4500</v>
      </c>
      <c r="T461" s="326" t="s">
        <v>170</v>
      </c>
      <c r="U461" s="326" t="s">
        <v>2040</v>
      </c>
      <c r="V461" s="332">
        <v>31620</v>
      </c>
      <c r="W461" s="333">
        <v>31610</v>
      </c>
    </row>
    <row r="462" spans="1:23" ht="45" customHeight="1" x14ac:dyDescent="0.4">
      <c r="A462" s="323">
        <v>317311</v>
      </c>
      <c r="B462" s="324" t="s">
        <v>4552</v>
      </c>
      <c r="C462" s="325" t="s">
        <v>2767</v>
      </c>
      <c r="D462" s="326" t="s">
        <v>2084</v>
      </c>
      <c r="E462" s="327" t="s">
        <v>1165</v>
      </c>
      <c r="F462" s="327"/>
      <c r="G462" s="327" t="s">
        <v>1166</v>
      </c>
      <c r="H462" s="325" t="s">
        <v>2283</v>
      </c>
      <c r="I462" s="325" t="s">
        <v>228</v>
      </c>
      <c r="J462" s="328">
        <v>31</v>
      </c>
      <c r="K462" s="329">
        <v>3171</v>
      </c>
      <c r="L462" s="325" t="s">
        <v>2768</v>
      </c>
      <c r="M462" s="326" t="s">
        <v>226</v>
      </c>
      <c r="N462" s="326"/>
      <c r="O462" s="330">
        <v>207.09</v>
      </c>
      <c r="P462" s="330">
        <v>7.86</v>
      </c>
      <c r="Q462" s="331">
        <v>3171</v>
      </c>
      <c r="R462" s="330">
        <v>300000</v>
      </c>
      <c r="S462" s="330">
        <v>9900</v>
      </c>
      <c r="T462" s="326" t="s">
        <v>170</v>
      </c>
      <c r="U462" s="326" t="s">
        <v>2040</v>
      </c>
      <c r="V462" s="332" t="s">
        <v>228</v>
      </c>
      <c r="W462" s="333" t="s">
        <v>2769</v>
      </c>
    </row>
    <row r="463" spans="1:23" ht="45" customHeight="1" x14ac:dyDescent="0.4">
      <c r="A463" s="323">
        <v>317315</v>
      </c>
      <c r="B463" s="324" t="s">
        <v>4553</v>
      </c>
      <c r="C463" s="325" t="s">
        <v>2770</v>
      </c>
      <c r="D463" s="326" t="s">
        <v>2084</v>
      </c>
      <c r="E463" s="327" t="s">
        <v>1167</v>
      </c>
      <c r="F463" s="327"/>
      <c r="G463" s="327" t="s">
        <v>1168</v>
      </c>
      <c r="H463" s="325" t="s">
        <v>2283</v>
      </c>
      <c r="I463" s="325" t="s">
        <v>228</v>
      </c>
      <c r="J463" s="328">
        <v>31</v>
      </c>
      <c r="K463" s="329">
        <v>3171</v>
      </c>
      <c r="L463" s="325" t="s">
        <v>2768</v>
      </c>
      <c r="M463" s="326" t="s">
        <v>226</v>
      </c>
      <c r="N463" s="326"/>
      <c r="O463" s="330">
        <v>207.09</v>
      </c>
      <c r="P463" s="330">
        <v>7.86</v>
      </c>
      <c r="Q463" s="331">
        <v>3171</v>
      </c>
      <c r="R463" s="330">
        <v>300000</v>
      </c>
      <c r="S463" s="330">
        <v>9900</v>
      </c>
      <c r="T463" s="326" t="s">
        <v>170</v>
      </c>
      <c r="U463" s="326" t="s">
        <v>2040</v>
      </c>
      <c r="V463" s="332">
        <v>31740</v>
      </c>
      <c r="W463" s="333" t="s">
        <v>2769</v>
      </c>
    </row>
    <row r="464" spans="1:23" ht="45" customHeight="1" x14ac:dyDescent="0.4">
      <c r="A464" s="323">
        <v>317316</v>
      </c>
      <c r="B464" s="324" t="s">
        <v>4554</v>
      </c>
      <c r="C464" s="325" t="s">
        <v>2771</v>
      </c>
      <c r="D464" s="326" t="s">
        <v>2084</v>
      </c>
      <c r="E464" s="327" t="s">
        <v>1169</v>
      </c>
      <c r="F464" s="327"/>
      <c r="G464" s="327" t="s">
        <v>1170</v>
      </c>
      <c r="H464" s="325" t="s">
        <v>2283</v>
      </c>
      <c r="I464" s="325" t="s">
        <v>228</v>
      </c>
      <c r="J464" s="328">
        <v>31</v>
      </c>
      <c r="K464" s="329">
        <v>3171</v>
      </c>
      <c r="L464" s="325" t="s">
        <v>2768</v>
      </c>
      <c r="M464" s="326" t="s">
        <v>226</v>
      </c>
      <c r="N464" s="326"/>
      <c r="O464" s="330">
        <v>207.09</v>
      </c>
      <c r="P464" s="330">
        <v>7.86</v>
      </c>
      <c r="Q464" s="331">
        <v>3171</v>
      </c>
      <c r="R464" s="330">
        <v>300000</v>
      </c>
      <c r="S464" s="330">
        <v>9900</v>
      </c>
      <c r="T464" s="326" t="s">
        <v>170</v>
      </c>
      <c r="U464" s="326" t="s">
        <v>2040</v>
      </c>
      <c r="V464" s="332">
        <v>31740</v>
      </c>
      <c r="W464" s="333" t="s">
        <v>2769</v>
      </c>
    </row>
    <row r="465" spans="1:23" ht="45" customHeight="1" x14ac:dyDescent="0.4">
      <c r="A465" s="323">
        <v>317932</v>
      </c>
      <c r="B465" s="324" t="s">
        <v>4555</v>
      </c>
      <c r="C465" s="325" t="s">
        <v>2772</v>
      </c>
      <c r="D465" s="326" t="s">
        <v>2084</v>
      </c>
      <c r="E465" s="327" t="s">
        <v>1171</v>
      </c>
      <c r="F465" s="327"/>
      <c r="G465" s="327" t="s">
        <v>1172</v>
      </c>
      <c r="H465" s="325" t="s">
        <v>2283</v>
      </c>
      <c r="I465" s="325" t="s">
        <v>228</v>
      </c>
      <c r="J465" s="328">
        <v>31</v>
      </c>
      <c r="K465" s="329">
        <v>3171</v>
      </c>
      <c r="L465" s="325" t="s">
        <v>2768</v>
      </c>
      <c r="M465" s="326" t="s">
        <v>226</v>
      </c>
      <c r="N465" s="326"/>
      <c r="O465" s="330">
        <v>207.09</v>
      </c>
      <c r="P465" s="330">
        <v>7.86</v>
      </c>
      <c r="Q465" s="331">
        <v>3171</v>
      </c>
      <c r="R465" s="330">
        <v>300000</v>
      </c>
      <c r="S465" s="330">
        <v>9900</v>
      </c>
      <c r="T465" s="326" t="s">
        <v>170</v>
      </c>
      <c r="U465" s="326" t="s">
        <v>2040</v>
      </c>
      <c r="V465" s="332" t="s">
        <v>228</v>
      </c>
      <c r="W465" s="333" t="s">
        <v>228</v>
      </c>
    </row>
    <row r="466" spans="1:23" ht="45" customHeight="1" x14ac:dyDescent="0.4">
      <c r="A466" s="323">
        <v>318612</v>
      </c>
      <c r="B466" s="324" t="s">
        <v>4556</v>
      </c>
      <c r="C466" s="325" t="s">
        <v>2773</v>
      </c>
      <c r="D466" s="326" t="s">
        <v>2084</v>
      </c>
      <c r="E466" s="327" t="s">
        <v>1173</v>
      </c>
      <c r="F466" s="327"/>
      <c r="G466" s="327" t="s">
        <v>1174</v>
      </c>
      <c r="H466" s="325" t="s">
        <v>2283</v>
      </c>
      <c r="I466" s="325" t="s">
        <v>228</v>
      </c>
      <c r="J466" s="328">
        <v>31</v>
      </c>
      <c r="K466" s="329">
        <v>3181</v>
      </c>
      <c r="L466" s="325" t="s">
        <v>2774</v>
      </c>
      <c r="M466" s="326" t="s">
        <v>226</v>
      </c>
      <c r="N466" s="326"/>
      <c r="O466" s="330">
        <v>588.69000000000005</v>
      </c>
      <c r="P466" s="330">
        <v>10.83</v>
      </c>
      <c r="Q466" s="331">
        <v>3181</v>
      </c>
      <c r="R466" s="330">
        <v>190000</v>
      </c>
      <c r="S466" s="330">
        <v>5600</v>
      </c>
      <c r="T466" s="326" t="s">
        <v>170</v>
      </c>
      <c r="U466" s="326" t="s">
        <v>2040</v>
      </c>
      <c r="V466" s="332">
        <v>31820</v>
      </c>
      <c r="W466" s="333">
        <v>31810</v>
      </c>
    </row>
    <row r="467" spans="1:23" ht="45" customHeight="1" x14ac:dyDescent="0.4">
      <c r="A467" s="323">
        <v>318614</v>
      </c>
      <c r="B467" s="324" t="s">
        <v>4557</v>
      </c>
      <c r="C467" s="325" t="s">
        <v>2775</v>
      </c>
      <c r="D467" s="326" t="s">
        <v>2084</v>
      </c>
      <c r="E467" s="327" t="s">
        <v>1175</v>
      </c>
      <c r="F467" s="327"/>
      <c r="G467" s="327" t="s">
        <v>1176</v>
      </c>
      <c r="H467" s="325" t="s">
        <v>2283</v>
      </c>
      <c r="I467" s="325" t="s">
        <v>228</v>
      </c>
      <c r="J467" s="328">
        <v>31</v>
      </c>
      <c r="K467" s="329">
        <v>3181</v>
      </c>
      <c r="L467" s="325" t="s">
        <v>2774</v>
      </c>
      <c r="M467" s="326" t="s">
        <v>226</v>
      </c>
      <c r="N467" s="326"/>
      <c r="O467" s="330">
        <v>588.69000000000005</v>
      </c>
      <c r="P467" s="330">
        <v>10.83</v>
      </c>
      <c r="Q467" s="331">
        <v>3181</v>
      </c>
      <c r="R467" s="330">
        <v>190000</v>
      </c>
      <c r="S467" s="330">
        <v>5600</v>
      </c>
      <c r="T467" s="326" t="s">
        <v>170</v>
      </c>
      <c r="U467" s="326" t="s">
        <v>2040</v>
      </c>
      <c r="V467" s="332">
        <v>31820</v>
      </c>
      <c r="W467" s="333">
        <v>31810</v>
      </c>
    </row>
    <row r="468" spans="1:23" ht="45" customHeight="1" x14ac:dyDescent="0.4">
      <c r="A468" s="323">
        <v>318615</v>
      </c>
      <c r="B468" s="324" t="s">
        <v>4558</v>
      </c>
      <c r="C468" s="325" t="s">
        <v>2776</v>
      </c>
      <c r="D468" s="326" t="s">
        <v>2084</v>
      </c>
      <c r="E468" s="327" t="s">
        <v>1177</v>
      </c>
      <c r="F468" s="327"/>
      <c r="G468" s="327" t="s">
        <v>1178</v>
      </c>
      <c r="H468" s="325" t="s">
        <v>2283</v>
      </c>
      <c r="I468" s="325" t="s">
        <v>228</v>
      </c>
      <c r="J468" s="328">
        <v>31</v>
      </c>
      <c r="K468" s="329">
        <v>3181</v>
      </c>
      <c r="L468" s="325" t="s">
        <v>2774</v>
      </c>
      <c r="M468" s="326" t="s">
        <v>226</v>
      </c>
      <c r="N468" s="326"/>
      <c r="O468" s="330">
        <v>588.69000000000005</v>
      </c>
      <c r="P468" s="330">
        <v>10.83</v>
      </c>
      <c r="Q468" s="331">
        <v>3181</v>
      </c>
      <c r="R468" s="330">
        <v>190000</v>
      </c>
      <c r="S468" s="330">
        <v>5600</v>
      </c>
      <c r="T468" s="326" t="s">
        <v>170</v>
      </c>
      <c r="U468" s="326" t="s">
        <v>2040</v>
      </c>
      <c r="V468" s="332">
        <v>31820</v>
      </c>
      <c r="W468" s="333">
        <v>31810</v>
      </c>
    </row>
    <row r="469" spans="1:23" ht="45" customHeight="1" x14ac:dyDescent="0.4">
      <c r="A469" s="323">
        <v>318632</v>
      </c>
      <c r="B469" s="324" t="s">
        <v>4559</v>
      </c>
      <c r="C469" s="325" t="s">
        <v>2777</v>
      </c>
      <c r="D469" s="326" t="s">
        <v>2084</v>
      </c>
      <c r="E469" s="327" t="s">
        <v>1179</v>
      </c>
      <c r="F469" s="327"/>
      <c r="G469" s="327" t="s">
        <v>1180</v>
      </c>
      <c r="H469" s="325" t="s">
        <v>2283</v>
      </c>
      <c r="I469" s="325" t="s">
        <v>228</v>
      </c>
      <c r="J469" s="328">
        <v>31</v>
      </c>
      <c r="K469" s="329">
        <v>3181</v>
      </c>
      <c r="L469" s="325" t="s">
        <v>2774</v>
      </c>
      <c r="M469" s="326" t="s">
        <v>226</v>
      </c>
      <c r="N469" s="326"/>
      <c r="O469" s="330">
        <v>588.69000000000005</v>
      </c>
      <c r="P469" s="330">
        <v>10.83</v>
      </c>
      <c r="Q469" s="331">
        <v>3181</v>
      </c>
      <c r="R469" s="330">
        <v>190000</v>
      </c>
      <c r="S469" s="330">
        <v>5600</v>
      </c>
      <c r="T469" s="326" t="s">
        <v>170</v>
      </c>
      <c r="U469" s="326" t="s">
        <v>2040</v>
      </c>
      <c r="V469" s="332">
        <v>31820</v>
      </c>
      <c r="W469" s="333">
        <v>31815</v>
      </c>
    </row>
    <row r="470" spans="1:23" ht="45" customHeight="1" x14ac:dyDescent="0.4">
      <c r="A470" s="323">
        <v>319150</v>
      </c>
      <c r="B470" s="324" t="s">
        <v>4560</v>
      </c>
      <c r="C470" s="325" t="s">
        <v>2778</v>
      </c>
      <c r="D470" s="326" t="s">
        <v>2084</v>
      </c>
      <c r="E470" s="327" t="s">
        <v>4561</v>
      </c>
      <c r="F470" s="327"/>
      <c r="G470" s="327" t="s">
        <v>383</v>
      </c>
      <c r="H470" s="325" t="e">
        <v>#N/A</v>
      </c>
      <c r="I470" s="325" t="e">
        <v>#N/A</v>
      </c>
      <c r="J470" s="328">
        <v>31</v>
      </c>
      <c r="K470" s="329">
        <v>3191</v>
      </c>
      <c r="L470" s="325" t="s">
        <v>2779</v>
      </c>
      <c r="M470" s="326" t="s">
        <v>226</v>
      </c>
      <c r="N470" s="326"/>
      <c r="O470" s="330">
        <v>955</v>
      </c>
      <c r="P470" s="330">
        <v>5.52</v>
      </c>
      <c r="Q470" s="331">
        <v>3191</v>
      </c>
      <c r="R470" s="330">
        <v>170000</v>
      </c>
      <c r="S470" s="330">
        <v>10000</v>
      </c>
      <c r="T470" s="326" t="s">
        <v>170</v>
      </c>
      <c r="U470" s="326" t="s">
        <v>2040</v>
      </c>
      <c r="V470" s="332"/>
      <c r="W470" s="333">
        <v>31915</v>
      </c>
    </row>
    <row r="471" spans="1:23" ht="45" customHeight="1" x14ac:dyDescent="0.4">
      <c r="A471" s="323">
        <v>319441</v>
      </c>
      <c r="B471" s="324" t="s">
        <v>4562</v>
      </c>
      <c r="C471" s="325" t="s">
        <v>2780</v>
      </c>
      <c r="D471" s="326" t="s">
        <v>2084</v>
      </c>
      <c r="E471" s="327" t="s">
        <v>1181</v>
      </c>
      <c r="F471" s="327"/>
      <c r="G471" s="327" t="s">
        <v>1182</v>
      </c>
      <c r="H471" s="325" t="s">
        <v>2283</v>
      </c>
      <c r="I471" s="325" t="s">
        <v>228</v>
      </c>
      <c r="J471" s="328">
        <v>31</v>
      </c>
      <c r="K471" s="329">
        <v>3111</v>
      </c>
      <c r="L471" s="325" t="s">
        <v>2604</v>
      </c>
      <c r="M471" s="326" t="s">
        <v>226</v>
      </c>
      <c r="N471" s="326"/>
      <c r="O471" s="330">
        <v>512.75</v>
      </c>
      <c r="P471" s="330">
        <v>8.33</v>
      </c>
      <c r="Q471" s="331">
        <v>3111</v>
      </c>
      <c r="R471" s="330">
        <v>230000</v>
      </c>
      <c r="S471" s="330">
        <v>31000</v>
      </c>
      <c r="T471" s="326" t="s">
        <v>170</v>
      </c>
      <c r="U471" s="326" t="s">
        <v>2040</v>
      </c>
      <c r="V471" s="332">
        <v>31110</v>
      </c>
      <c r="W471" s="333">
        <v>31120</v>
      </c>
    </row>
    <row r="472" spans="1:23" ht="45" customHeight="1" x14ac:dyDescent="0.4">
      <c r="A472" s="323">
        <v>319442</v>
      </c>
      <c r="B472" s="324" t="s">
        <v>4563</v>
      </c>
      <c r="C472" s="325" t="s">
        <v>2781</v>
      </c>
      <c r="D472" s="326" t="s">
        <v>2084</v>
      </c>
      <c r="E472" s="327" t="s">
        <v>1183</v>
      </c>
      <c r="F472" s="327"/>
      <c r="G472" s="327" t="s">
        <v>1184</v>
      </c>
      <c r="H472" s="325" t="s">
        <v>2283</v>
      </c>
      <c r="I472" s="325" t="s">
        <v>228</v>
      </c>
      <c r="J472" s="328">
        <v>31</v>
      </c>
      <c r="K472" s="329">
        <v>3101</v>
      </c>
      <c r="L472" s="325" t="s">
        <v>2725</v>
      </c>
      <c r="M472" s="326" t="s">
        <v>226</v>
      </c>
      <c r="N472" s="326"/>
      <c r="O472" s="330">
        <v>955</v>
      </c>
      <c r="P472" s="330">
        <v>8.52</v>
      </c>
      <c r="Q472" s="331">
        <v>3101</v>
      </c>
      <c r="R472" s="330">
        <v>290000</v>
      </c>
      <c r="S472" s="330">
        <v>22000</v>
      </c>
      <c r="T472" s="326" t="s">
        <v>170</v>
      </c>
      <c r="U472" s="326" t="s">
        <v>2040</v>
      </c>
      <c r="V472" s="332" t="s">
        <v>228</v>
      </c>
      <c r="W472" s="333" t="s">
        <v>228</v>
      </c>
    </row>
    <row r="473" spans="1:23" ht="45" customHeight="1" x14ac:dyDescent="0.4">
      <c r="A473" s="323">
        <v>319443</v>
      </c>
      <c r="B473" s="324" t="s">
        <v>4564</v>
      </c>
      <c r="C473" s="325" t="s">
        <v>2782</v>
      </c>
      <c r="D473" s="326" t="s">
        <v>2084</v>
      </c>
      <c r="E473" s="327" t="s">
        <v>1185</v>
      </c>
      <c r="F473" s="327"/>
      <c r="G473" s="327" t="s">
        <v>1186</v>
      </c>
      <c r="H473" s="325" t="s">
        <v>2283</v>
      </c>
      <c r="I473" s="325" t="s">
        <v>228</v>
      </c>
      <c r="J473" s="328">
        <v>31</v>
      </c>
      <c r="K473" s="329">
        <v>3181</v>
      </c>
      <c r="L473" s="325" t="s">
        <v>2774</v>
      </c>
      <c r="M473" s="326" t="s">
        <v>226</v>
      </c>
      <c r="N473" s="326"/>
      <c r="O473" s="330">
        <v>588.69000000000005</v>
      </c>
      <c r="P473" s="330">
        <v>10.83</v>
      </c>
      <c r="Q473" s="331">
        <v>3181</v>
      </c>
      <c r="R473" s="330">
        <v>190000</v>
      </c>
      <c r="S473" s="330">
        <v>5600</v>
      </c>
      <c r="T473" s="326" t="s">
        <v>170</v>
      </c>
      <c r="U473" s="326" t="s">
        <v>2040</v>
      </c>
      <c r="V473" s="332">
        <v>31820</v>
      </c>
      <c r="W473" s="333" t="s">
        <v>228</v>
      </c>
    </row>
    <row r="474" spans="1:23" ht="45" customHeight="1" x14ac:dyDescent="0.4">
      <c r="A474" s="323">
        <v>319946</v>
      </c>
      <c r="B474" s="324" t="s">
        <v>4565</v>
      </c>
      <c r="C474" s="325" t="s">
        <v>2783</v>
      </c>
      <c r="D474" s="326" t="s">
        <v>2084</v>
      </c>
      <c r="E474" s="327" t="s">
        <v>1187</v>
      </c>
      <c r="F474" s="327"/>
      <c r="G474" s="327" t="s">
        <v>1188</v>
      </c>
      <c r="H474" s="325" t="s">
        <v>2283</v>
      </c>
      <c r="I474" s="325" t="s">
        <v>228</v>
      </c>
      <c r="J474" s="328">
        <v>31</v>
      </c>
      <c r="K474" s="329">
        <v>3191</v>
      </c>
      <c r="L474" s="325" t="s">
        <v>2779</v>
      </c>
      <c r="M474" s="326" t="s">
        <v>226</v>
      </c>
      <c r="N474" s="326"/>
      <c r="O474" s="330">
        <v>955</v>
      </c>
      <c r="P474" s="330">
        <v>5.52</v>
      </c>
      <c r="Q474" s="331">
        <v>3191</v>
      </c>
      <c r="R474" s="330">
        <v>170000</v>
      </c>
      <c r="S474" s="330">
        <v>10000</v>
      </c>
      <c r="T474" s="326" t="s">
        <v>170</v>
      </c>
      <c r="U474" s="326" t="s">
        <v>2040</v>
      </c>
      <c r="V474" s="332">
        <v>31920</v>
      </c>
      <c r="W474" s="333">
        <v>31915</v>
      </c>
    </row>
    <row r="475" spans="1:23" ht="45" customHeight="1" x14ac:dyDescent="0.4">
      <c r="A475" s="323">
        <v>319951</v>
      </c>
      <c r="B475" s="324" t="s">
        <v>4566</v>
      </c>
      <c r="C475" s="325" t="s">
        <v>2784</v>
      </c>
      <c r="D475" s="326" t="s">
        <v>2084</v>
      </c>
      <c r="E475" s="327" t="s">
        <v>1189</v>
      </c>
      <c r="F475" s="327"/>
      <c r="G475" s="327" t="s">
        <v>1190</v>
      </c>
      <c r="H475" s="325" t="s">
        <v>2283</v>
      </c>
      <c r="I475" s="325" t="s">
        <v>228</v>
      </c>
      <c r="J475" s="328">
        <v>31</v>
      </c>
      <c r="K475" s="329">
        <v>3151</v>
      </c>
      <c r="L475" s="325" t="s">
        <v>2761</v>
      </c>
      <c r="M475" s="326" t="s">
        <v>226</v>
      </c>
      <c r="N475" s="326"/>
      <c r="O475" s="330">
        <v>611.1</v>
      </c>
      <c r="P475" s="330">
        <v>7.51</v>
      </c>
      <c r="Q475" s="331">
        <v>3151</v>
      </c>
      <c r="R475" s="330">
        <v>140000</v>
      </c>
      <c r="S475" s="330">
        <v>9000</v>
      </c>
      <c r="T475" s="326" t="s">
        <v>170</v>
      </c>
      <c r="U475" s="326" t="s">
        <v>2040</v>
      </c>
      <c r="V475" s="332">
        <v>31510</v>
      </c>
      <c r="W475" s="333" t="s">
        <v>228</v>
      </c>
    </row>
    <row r="476" spans="1:23" ht="45" customHeight="1" x14ac:dyDescent="0.4">
      <c r="A476" s="323">
        <v>319995</v>
      </c>
      <c r="B476" s="324" t="s">
        <v>4567</v>
      </c>
      <c r="C476" s="325" t="s">
        <v>2786</v>
      </c>
      <c r="D476" s="326" t="s">
        <v>2084</v>
      </c>
      <c r="E476" s="327" t="s">
        <v>1191</v>
      </c>
      <c r="F476" s="327"/>
      <c r="G476" s="327" t="s">
        <v>1192</v>
      </c>
      <c r="H476" s="325" t="s">
        <v>2283</v>
      </c>
      <c r="I476" s="325" t="s">
        <v>228</v>
      </c>
      <c r="J476" s="328">
        <v>44</v>
      </c>
      <c r="K476" s="329">
        <v>4414</v>
      </c>
      <c r="L476" s="325" t="s">
        <v>2787</v>
      </c>
      <c r="M476" s="326" t="s">
        <v>226</v>
      </c>
      <c r="N476" s="326"/>
      <c r="O476" s="330">
        <v>163.49</v>
      </c>
      <c r="P476" s="330">
        <v>2.58</v>
      </c>
      <c r="Q476" s="331">
        <v>4414</v>
      </c>
      <c r="R476" s="330">
        <v>1900000</v>
      </c>
      <c r="S476" s="330">
        <v>310000</v>
      </c>
      <c r="T476" s="326" t="s">
        <v>170</v>
      </c>
      <c r="U476" s="326" t="s">
        <v>2040</v>
      </c>
      <c r="V476" s="332">
        <v>44130</v>
      </c>
      <c r="W476" s="333" t="s">
        <v>228</v>
      </c>
    </row>
    <row r="477" spans="1:23" ht="45" customHeight="1" x14ac:dyDescent="0.4">
      <c r="A477" s="323">
        <v>321123</v>
      </c>
      <c r="B477" s="324" t="s">
        <v>4568</v>
      </c>
      <c r="C477" s="325" t="s">
        <v>2788</v>
      </c>
      <c r="D477" s="326" t="s">
        <v>2084</v>
      </c>
      <c r="E477" s="327" t="s">
        <v>1193</v>
      </c>
      <c r="F477" s="327"/>
      <c r="G477" s="327" t="s">
        <v>1194</v>
      </c>
      <c r="H477" s="325" t="s">
        <v>2283</v>
      </c>
      <c r="I477" s="325" t="s">
        <v>228</v>
      </c>
      <c r="J477" s="328">
        <v>32</v>
      </c>
      <c r="K477" s="329">
        <v>3211</v>
      </c>
      <c r="L477" s="325" t="s">
        <v>2789</v>
      </c>
      <c r="M477" s="326" t="s">
        <v>226</v>
      </c>
      <c r="N477" s="326"/>
      <c r="O477" s="330">
        <v>955</v>
      </c>
      <c r="P477" s="330">
        <v>6.77</v>
      </c>
      <c r="Q477" s="331">
        <v>3211</v>
      </c>
      <c r="R477" s="330">
        <v>140000</v>
      </c>
      <c r="S477" s="330">
        <v>10000</v>
      </c>
      <c r="T477" s="326" t="s">
        <v>170</v>
      </c>
      <c r="U477" s="326" t="s">
        <v>2040</v>
      </c>
      <c r="V477" s="332">
        <v>32110</v>
      </c>
      <c r="W477" s="333">
        <v>32110</v>
      </c>
    </row>
    <row r="478" spans="1:23" ht="45" customHeight="1" x14ac:dyDescent="0.4">
      <c r="A478" s="335">
        <v>371100</v>
      </c>
      <c r="B478" s="324" t="s">
        <v>4569</v>
      </c>
      <c r="C478" s="325" t="s">
        <v>4570</v>
      </c>
      <c r="D478" s="326" t="s">
        <v>2084</v>
      </c>
      <c r="E478" s="327" t="s">
        <v>4571</v>
      </c>
      <c r="F478" s="327"/>
      <c r="G478" s="327" t="s">
        <v>383</v>
      </c>
      <c r="H478" s="325" t="e">
        <v>#N/A</v>
      </c>
      <c r="I478" s="325" t="e">
        <v>#N/A</v>
      </c>
      <c r="J478" s="328">
        <v>97</v>
      </c>
      <c r="K478" s="329">
        <v>3711</v>
      </c>
      <c r="L478" s="325" t="s">
        <v>4569</v>
      </c>
      <c r="M478" s="326" t="s">
        <v>226</v>
      </c>
      <c r="N478" s="326"/>
      <c r="O478" s="330">
        <v>631.21</v>
      </c>
      <c r="P478" s="330">
        <v>6.21</v>
      </c>
      <c r="Q478" s="331">
        <v>3711</v>
      </c>
      <c r="R478" s="330">
        <v>25000</v>
      </c>
      <c r="S478" s="330">
        <v>3000</v>
      </c>
      <c r="T478" s="326" t="s">
        <v>170</v>
      </c>
      <c r="U478" s="326" t="s">
        <v>2040</v>
      </c>
      <c r="V478" s="332"/>
      <c r="W478" s="333"/>
    </row>
    <row r="479" spans="1:23" ht="45" customHeight="1" x14ac:dyDescent="0.4">
      <c r="A479" s="323">
        <v>371475</v>
      </c>
      <c r="B479" s="324" t="s">
        <v>4572</v>
      </c>
      <c r="C479" s="325" t="s">
        <v>2790</v>
      </c>
      <c r="D479" s="326" t="s">
        <v>2045</v>
      </c>
      <c r="E479" s="327" t="s">
        <v>1195</v>
      </c>
      <c r="F479" s="327"/>
      <c r="G479" s="327" t="s">
        <v>1196</v>
      </c>
      <c r="H479" s="325" t="s">
        <v>2283</v>
      </c>
      <c r="I479" s="325" t="s">
        <v>228</v>
      </c>
      <c r="J479" s="328">
        <v>37</v>
      </c>
      <c r="K479" s="329">
        <v>3712</v>
      </c>
      <c r="L479" s="325" t="s">
        <v>2791</v>
      </c>
      <c r="M479" s="326" t="s">
        <v>2076</v>
      </c>
      <c r="N479" s="326"/>
      <c r="O479" s="330">
        <v>1008365.32</v>
      </c>
      <c r="P479" s="330">
        <v>6384.75</v>
      </c>
      <c r="Q479" s="331">
        <v>3712</v>
      </c>
      <c r="R479" s="330">
        <v>1</v>
      </c>
      <c r="S479" s="330">
        <v>1</v>
      </c>
      <c r="T479" s="326" t="s">
        <v>170</v>
      </c>
      <c r="U479" s="326" t="s">
        <v>2040</v>
      </c>
      <c r="V479" s="332">
        <v>37120</v>
      </c>
      <c r="W479" s="333">
        <v>37112</v>
      </c>
    </row>
    <row r="480" spans="1:23" ht="45" customHeight="1" x14ac:dyDescent="0.4">
      <c r="A480" s="323">
        <v>371484</v>
      </c>
      <c r="B480" s="324" t="s">
        <v>4573</v>
      </c>
      <c r="C480" s="325" t="s">
        <v>2792</v>
      </c>
      <c r="D480" s="326" t="s">
        <v>2045</v>
      </c>
      <c r="E480" s="327" t="s">
        <v>1197</v>
      </c>
      <c r="F480" s="327"/>
      <c r="G480" s="327" t="s">
        <v>1198</v>
      </c>
      <c r="H480" s="325" t="s">
        <v>2283</v>
      </c>
      <c r="I480" s="325" t="s">
        <v>228</v>
      </c>
      <c r="J480" s="328">
        <v>37</v>
      </c>
      <c r="K480" s="329">
        <v>3712</v>
      </c>
      <c r="L480" s="325" t="s">
        <v>2791</v>
      </c>
      <c r="M480" s="326" t="s">
        <v>2076</v>
      </c>
      <c r="N480" s="326"/>
      <c r="O480" s="330">
        <v>1008365.32</v>
      </c>
      <c r="P480" s="330">
        <v>6384.75</v>
      </c>
      <c r="Q480" s="331">
        <v>3712</v>
      </c>
      <c r="R480" s="330">
        <v>1</v>
      </c>
      <c r="S480" s="330">
        <v>1</v>
      </c>
      <c r="T480" s="326" t="s">
        <v>170</v>
      </c>
      <c r="U480" s="326" t="s">
        <v>2040</v>
      </c>
      <c r="V480" s="332">
        <v>37120</v>
      </c>
      <c r="W480" s="333" t="s">
        <v>228</v>
      </c>
    </row>
    <row r="481" spans="1:23" ht="45" customHeight="1" x14ac:dyDescent="0.4">
      <c r="A481" s="323">
        <v>371485</v>
      </c>
      <c r="B481" s="324" t="s">
        <v>4574</v>
      </c>
      <c r="C481" s="325" t="s">
        <v>2793</v>
      </c>
      <c r="D481" s="326" t="s">
        <v>2045</v>
      </c>
      <c r="E481" s="327" t="s">
        <v>4575</v>
      </c>
      <c r="F481" s="327" t="s">
        <v>2785</v>
      </c>
      <c r="G481" s="327" t="s">
        <v>1199</v>
      </c>
      <c r="H481" s="325" t="s">
        <v>2283</v>
      </c>
      <c r="I481" s="325" t="s">
        <v>228</v>
      </c>
      <c r="J481" s="328">
        <v>37</v>
      </c>
      <c r="K481" s="329">
        <v>3712</v>
      </c>
      <c r="L481" s="325" t="s">
        <v>2791</v>
      </c>
      <c r="M481" s="326" t="s">
        <v>2076</v>
      </c>
      <c r="N481" s="326"/>
      <c r="O481" s="330">
        <v>1008365.32</v>
      </c>
      <c r="P481" s="330">
        <v>6384.75</v>
      </c>
      <c r="Q481" s="331">
        <v>3712</v>
      </c>
      <c r="R481" s="330">
        <v>1</v>
      </c>
      <c r="S481" s="330">
        <v>1</v>
      </c>
      <c r="T481" s="326" t="s">
        <v>170</v>
      </c>
      <c r="U481" s="326" t="s">
        <v>2040</v>
      </c>
      <c r="V481" s="332">
        <v>37120</v>
      </c>
      <c r="W481" s="333" t="s">
        <v>228</v>
      </c>
    </row>
    <row r="482" spans="1:23" ht="45" customHeight="1" x14ac:dyDescent="0.4">
      <c r="A482" s="323">
        <v>371486</v>
      </c>
      <c r="B482" s="324" t="s">
        <v>4576</v>
      </c>
      <c r="C482" s="325" t="s">
        <v>2794</v>
      </c>
      <c r="D482" s="326" t="s">
        <v>2045</v>
      </c>
      <c r="E482" s="327" t="s">
        <v>4577</v>
      </c>
      <c r="F482" s="327" t="s">
        <v>2785</v>
      </c>
      <c r="G482" s="327" t="s">
        <v>1200</v>
      </c>
      <c r="H482" s="325" t="s">
        <v>2283</v>
      </c>
      <c r="I482" s="325" t="s">
        <v>228</v>
      </c>
      <c r="J482" s="328">
        <v>37</v>
      </c>
      <c r="K482" s="329">
        <v>3712</v>
      </c>
      <c r="L482" s="325" t="s">
        <v>2791</v>
      </c>
      <c r="M482" s="326" t="s">
        <v>2076</v>
      </c>
      <c r="N482" s="326"/>
      <c r="O482" s="330">
        <v>1008365.32</v>
      </c>
      <c r="P482" s="330">
        <v>6384.75</v>
      </c>
      <c r="Q482" s="331">
        <v>3712</v>
      </c>
      <c r="R482" s="330">
        <v>1</v>
      </c>
      <c r="S482" s="330">
        <v>1</v>
      </c>
      <c r="T482" s="326" t="s">
        <v>170</v>
      </c>
      <c r="U482" s="326" t="s">
        <v>2040</v>
      </c>
      <c r="V482" s="332">
        <v>37120</v>
      </c>
      <c r="W482" s="333" t="s">
        <v>228</v>
      </c>
    </row>
    <row r="483" spans="1:23" ht="45" customHeight="1" x14ac:dyDescent="0.4">
      <c r="A483" s="323">
        <v>371923</v>
      </c>
      <c r="B483" s="324" t="s">
        <v>4578</v>
      </c>
      <c r="C483" s="325" t="s">
        <v>2795</v>
      </c>
      <c r="D483" s="326" t="s">
        <v>2045</v>
      </c>
      <c r="E483" s="327" t="s">
        <v>1201</v>
      </c>
      <c r="F483" s="327"/>
      <c r="G483" s="327" t="s">
        <v>1202</v>
      </c>
      <c r="H483" s="325" t="s">
        <v>2283</v>
      </c>
      <c r="I483" s="325" t="s">
        <v>228</v>
      </c>
      <c r="J483" s="328">
        <v>37</v>
      </c>
      <c r="K483" s="329">
        <v>3713</v>
      </c>
      <c r="L483" s="325" t="s">
        <v>2796</v>
      </c>
      <c r="M483" s="326" t="s">
        <v>2076</v>
      </c>
      <c r="N483" s="326"/>
      <c r="O483" s="330">
        <v>1943547.8</v>
      </c>
      <c r="P483" s="330">
        <v>36817.72</v>
      </c>
      <c r="Q483" s="331">
        <v>3713</v>
      </c>
      <c r="R483" s="330">
        <v>1</v>
      </c>
      <c r="S483" s="330">
        <v>1</v>
      </c>
      <c r="T483" s="326" t="s">
        <v>170</v>
      </c>
      <c r="U483" s="326" t="s">
        <v>2040</v>
      </c>
      <c r="V483" s="332" t="s">
        <v>228</v>
      </c>
      <c r="W483" s="333" t="s">
        <v>228</v>
      </c>
    </row>
    <row r="484" spans="1:23" ht="45" customHeight="1" x14ac:dyDescent="0.4">
      <c r="A484" s="323">
        <v>390125</v>
      </c>
      <c r="B484" s="324" t="s">
        <v>4579</v>
      </c>
      <c r="C484" s="325" t="s">
        <v>2797</v>
      </c>
      <c r="D484" s="326" t="s">
        <v>2045</v>
      </c>
      <c r="E484" s="327" t="s">
        <v>1203</v>
      </c>
      <c r="F484" s="327"/>
      <c r="G484" s="327" t="s">
        <v>1204</v>
      </c>
      <c r="H484" s="325" t="s">
        <v>2283</v>
      </c>
      <c r="I484" s="325" t="s">
        <v>228</v>
      </c>
      <c r="J484" s="328">
        <v>39</v>
      </c>
      <c r="K484" s="329">
        <v>3901</v>
      </c>
      <c r="L484" s="325" t="s">
        <v>2798</v>
      </c>
      <c r="M484" s="326" t="s">
        <v>2076</v>
      </c>
      <c r="N484" s="326"/>
      <c r="O484" s="330">
        <v>1008365.32</v>
      </c>
      <c r="P484" s="330">
        <v>1905.87</v>
      </c>
      <c r="Q484" s="331">
        <v>3901</v>
      </c>
      <c r="R484" s="330">
        <v>1</v>
      </c>
      <c r="S484" s="330">
        <v>1</v>
      </c>
      <c r="T484" s="326" t="s">
        <v>170</v>
      </c>
      <c r="U484" s="326" t="s">
        <v>2040</v>
      </c>
      <c r="V484" s="332">
        <v>39014</v>
      </c>
      <c r="W484" s="333" t="s">
        <v>228</v>
      </c>
    </row>
    <row r="485" spans="1:23" ht="45" customHeight="1" x14ac:dyDescent="0.4">
      <c r="A485" s="323">
        <v>390127</v>
      </c>
      <c r="B485" s="324" t="s">
        <v>4580</v>
      </c>
      <c r="C485" s="325" t="s">
        <v>2799</v>
      </c>
      <c r="D485" s="326" t="s">
        <v>2045</v>
      </c>
      <c r="E485" s="327" t="s">
        <v>1205</v>
      </c>
      <c r="F485" s="327"/>
      <c r="G485" s="327" t="s">
        <v>1206</v>
      </c>
      <c r="H485" s="325" t="s">
        <v>2283</v>
      </c>
      <c r="I485" s="325" t="s">
        <v>228</v>
      </c>
      <c r="J485" s="328">
        <v>39</v>
      </c>
      <c r="K485" s="329">
        <v>3903</v>
      </c>
      <c r="L485" s="325" t="s">
        <v>2800</v>
      </c>
      <c r="M485" s="326" t="s">
        <v>2076</v>
      </c>
      <c r="N485" s="326"/>
      <c r="O485" s="330">
        <v>60040629.759999998</v>
      </c>
      <c r="P485" s="330">
        <v>1288354.29</v>
      </c>
      <c r="Q485" s="331">
        <v>3903</v>
      </c>
      <c r="R485" s="330">
        <v>1</v>
      </c>
      <c r="S485" s="330">
        <v>1</v>
      </c>
      <c r="T485" s="326" t="s">
        <v>170</v>
      </c>
      <c r="U485" s="326" t="s">
        <v>2040</v>
      </c>
      <c r="V485" s="332" t="s">
        <v>228</v>
      </c>
      <c r="W485" s="333" t="s">
        <v>228</v>
      </c>
    </row>
    <row r="486" spans="1:23" ht="45" customHeight="1" x14ac:dyDescent="0.4">
      <c r="A486" s="323">
        <v>390128</v>
      </c>
      <c r="B486" s="324" t="s">
        <v>4581</v>
      </c>
      <c r="C486" s="325" t="s">
        <v>2801</v>
      </c>
      <c r="D486" s="326" t="s">
        <v>2045</v>
      </c>
      <c r="E486" s="327" t="s">
        <v>1207</v>
      </c>
      <c r="F486" s="327"/>
      <c r="G486" s="327" t="s">
        <v>1208</v>
      </c>
      <c r="H486" s="325" t="s">
        <v>2283</v>
      </c>
      <c r="I486" s="325" t="s">
        <v>228</v>
      </c>
      <c r="J486" s="328">
        <v>39</v>
      </c>
      <c r="K486" s="329">
        <v>3903</v>
      </c>
      <c r="L486" s="325" t="s">
        <v>2800</v>
      </c>
      <c r="M486" s="326" t="s">
        <v>2076</v>
      </c>
      <c r="N486" s="326"/>
      <c r="O486" s="330">
        <v>60040629.759999998</v>
      </c>
      <c r="P486" s="330">
        <v>1288354.29</v>
      </c>
      <c r="Q486" s="331">
        <v>3903</v>
      </c>
      <c r="R486" s="330">
        <v>1</v>
      </c>
      <c r="S486" s="330">
        <v>1</v>
      </c>
      <c r="T486" s="326" t="s">
        <v>170</v>
      </c>
      <c r="U486" s="326" t="s">
        <v>2040</v>
      </c>
      <c r="V486" s="332" t="s">
        <v>228</v>
      </c>
      <c r="W486" s="333" t="s">
        <v>228</v>
      </c>
    </row>
    <row r="487" spans="1:23" ht="45" customHeight="1" x14ac:dyDescent="0.4">
      <c r="A487" s="323">
        <v>390129</v>
      </c>
      <c r="B487" s="324" t="s">
        <v>4582</v>
      </c>
      <c r="C487" s="325" t="s">
        <v>2802</v>
      </c>
      <c r="D487" s="326" t="s">
        <v>2045</v>
      </c>
      <c r="E487" s="327" t="s">
        <v>1209</v>
      </c>
      <c r="F487" s="327"/>
      <c r="G487" s="327" t="s">
        <v>1210</v>
      </c>
      <c r="H487" s="325" t="s">
        <v>2283</v>
      </c>
      <c r="I487" s="325" t="s">
        <v>228</v>
      </c>
      <c r="J487" s="328">
        <v>39</v>
      </c>
      <c r="K487" s="329">
        <v>3901</v>
      </c>
      <c r="L487" s="325" t="s">
        <v>2798</v>
      </c>
      <c r="M487" s="326" t="s">
        <v>2076</v>
      </c>
      <c r="N487" s="326"/>
      <c r="O487" s="330">
        <v>1008365.32</v>
      </c>
      <c r="P487" s="330">
        <v>1905.87</v>
      </c>
      <c r="Q487" s="331">
        <v>3901</v>
      </c>
      <c r="R487" s="330">
        <v>1</v>
      </c>
      <c r="S487" s="330">
        <v>1</v>
      </c>
      <c r="T487" s="326" t="s">
        <v>170</v>
      </c>
      <c r="U487" s="326" t="s">
        <v>2040</v>
      </c>
      <c r="V487" s="332" t="s">
        <v>228</v>
      </c>
      <c r="W487" s="333" t="s">
        <v>228</v>
      </c>
    </row>
    <row r="488" spans="1:23" ht="45" customHeight="1" x14ac:dyDescent="0.4">
      <c r="A488" s="335">
        <v>390130</v>
      </c>
      <c r="B488" s="324" t="s">
        <v>4583</v>
      </c>
      <c r="C488" s="325" t="s">
        <v>3852</v>
      </c>
      <c r="D488" s="326" t="s">
        <v>2045</v>
      </c>
      <c r="E488" s="327" t="s">
        <v>4584</v>
      </c>
      <c r="F488" s="327"/>
      <c r="G488" s="327" t="s">
        <v>383</v>
      </c>
      <c r="H488" s="325" t="e">
        <v>#N/A</v>
      </c>
      <c r="I488" s="325" t="e">
        <v>#N/A</v>
      </c>
      <c r="J488" s="326">
        <v>39</v>
      </c>
      <c r="K488" s="329">
        <v>3901</v>
      </c>
      <c r="L488" s="325" t="s">
        <v>2798</v>
      </c>
      <c r="M488" s="326" t="s">
        <v>2076</v>
      </c>
      <c r="N488" s="326"/>
      <c r="O488" s="330">
        <v>1008365.32</v>
      </c>
      <c r="P488" s="330">
        <v>1905.87</v>
      </c>
      <c r="Q488" s="331">
        <v>3901</v>
      </c>
      <c r="R488" s="330">
        <v>1</v>
      </c>
      <c r="S488" s="330">
        <v>1</v>
      </c>
      <c r="T488" s="326" t="s">
        <v>170</v>
      </c>
      <c r="U488" s="326" t="s">
        <v>2040</v>
      </c>
      <c r="V488" s="332"/>
      <c r="W488" s="333"/>
    </row>
    <row r="489" spans="1:23" ht="45" customHeight="1" x14ac:dyDescent="0.4">
      <c r="A489" s="323">
        <v>390157</v>
      </c>
      <c r="B489" s="324" t="s">
        <v>4585</v>
      </c>
      <c r="C489" s="325" t="s">
        <v>2803</v>
      </c>
      <c r="D489" s="326" t="s">
        <v>2045</v>
      </c>
      <c r="E489" s="327" t="s">
        <v>1211</v>
      </c>
      <c r="F489" s="327"/>
      <c r="G489" s="327" t="s">
        <v>1212</v>
      </c>
      <c r="H489" s="325" t="s">
        <v>2283</v>
      </c>
      <c r="I489" s="325" t="s">
        <v>228</v>
      </c>
      <c r="J489" s="328">
        <v>39</v>
      </c>
      <c r="K489" s="329">
        <v>3901</v>
      </c>
      <c r="L489" s="325" t="s">
        <v>2798</v>
      </c>
      <c r="M489" s="326" t="s">
        <v>2076</v>
      </c>
      <c r="N489" s="326"/>
      <c r="O489" s="330">
        <v>1008365.32</v>
      </c>
      <c r="P489" s="330">
        <v>1905.87</v>
      </c>
      <c r="Q489" s="331">
        <v>3901</v>
      </c>
      <c r="R489" s="330">
        <v>1</v>
      </c>
      <c r="S489" s="330">
        <v>1</v>
      </c>
      <c r="T489" s="326" t="s">
        <v>170</v>
      </c>
      <c r="U489" s="326" t="s">
        <v>2040</v>
      </c>
      <c r="V489" s="332" t="s">
        <v>228</v>
      </c>
      <c r="W489" s="333" t="s">
        <v>228</v>
      </c>
    </row>
    <row r="490" spans="1:23" ht="45" customHeight="1" x14ac:dyDescent="0.4">
      <c r="A490" s="323">
        <v>390171</v>
      </c>
      <c r="B490" s="324" t="s">
        <v>4586</v>
      </c>
      <c r="C490" s="325" t="s">
        <v>2804</v>
      </c>
      <c r="D490" s="326" t="s">
        <v>2045</v>
      </c>
      <c r="E490" s="327" t="s">
        <v>1213</v>
      </c>
      <c r="F490" s="327"/>
      <c r="G490" s="327" t="s">
        <v>1214</v>
      </c>
      <c r="H490" s="325" t="s">
        <v>2283</v>
      </c>
      <c r="I490" s="325" t="s">
        <v>228</v>
      </c>
      <c r="J490" s="328">
        <v>39</v>
      </c>
      <c r="K490" s="329">
        <v>3901</v>
      </c>
      <c r="L490" s="325" t="s">
        <v>2798</v>
      </c>
      <c r="M490" s="326" t="s">
        <v>2076</v>
      </c>
      <c r="N490" s="326"/>
      <c r="O490" s="330">
        <v>1008365.32</v>
      </c>
      <c r="P490" s="330">
        <v>1905.87</v>
      </c>
      <c r="Q490" s="331">
        <v>3901</v>
      </c>
      <c r="R490" s="330">
        <v>1</v>
      </c>
      <c r="S490" s="330">
        <v>1</v>
      </c>
      <c r="T490" s="326" t="s">
        <v>170</v>
      </c>
      <c r="U490" s="326" t="s">
        <v>2040</v>
      </c>
      <c r="V490" s="332">
        <v>39010</v>
      </c>
      <c r="W490" s="333">
        <v>39011</v>
      </c>
    </row>
    <row r="491" spans="1:23" ht="45" customHeight="1" x14ac:dyDescent="0.4">
      <c r="A491" s="323">
        <v>390222</v>
      </c>
      <c r="B491" s="324" t="s">
        <v>4587</v>
      </c>
      <c r="C491" s="325" t="s">
        <v>2805</v>
      </c>
      <c r="D491" s="326" t="s">
        <v>2045</v>
      </c>
      <c r="E491" s="327" t="s">
        <v>4588</v>
      </c>
      <c r="F491" s="327"/>
      <c r="G491" s="327" t="s">
        <v>1215</v>
      </c>
      <c r="H491" s="325" t="s">
        <v>2283</v>
      </c>
      <c r="I491" s="325" t="s">
        <v>228</v>
      </c>
      <c r="J491" s="328">
        <v>39</v>
      </c>
      <c r="K491" s="329">
        <v>3902</v>
      </c>
      <c r="L491" s="325" t="s">
        <v>2806</v>
      </c>
      <c r="M491" s="326" t="s">
        <v>2469</v>
      </c>
      <c r="N491" s="326"/>
      <c r="O491" s="330">
        <v>0</v>
      </c>
      <c r="P491" s="330">
        <v>0</v>
      </c>
      <c r="Q491" s="331">
        <v>3902</v>
      </c>
      <c r="R491" s="330">
        <v>76000</v>
      </c>
      <c r="S491" s="330">
        <v>1300</v>
      </c>
      <c r="T491" s="326" t="s">
        <v>170</v>
      </c>
      <c r="U491" s="326" t="s">
        <v>2040</v>
      </c>
      <c r="V491" s="332">
        <v>39069</v>
      </c>
      <c r="W491" s="333" t="s">
        <v>228</v>
      </c>
    </row>
    <row r="492" spans="1:23" ht="45" customHeight="1" x14ac:dyDescent="0.4">
      <c r="A492" s="323">
        <v>390224</v>
      </c>
      <c r="B492" s="324" t="s">
        <v>4589</v>
      </c>
      <c r="C492" s="325" t="s">
        <v>2807</v>
      </c>
      <c r="D492" s="326" t="s">
        <v>2045</v>
      </c>
      <c r="E492" s="327" t="s">
        <v>1216</v>
      </c>
      <c r="F492" s="327"/>
      <c r="G492" s="327" t="s">
        <v>1217</v>
      </c>
      <c r="H492" s="325" t="s">
        <v>2283</v>
      </c>
      <c r="I492" s="325" t="s">
        <v>228</v>
      </c>
      <c r="J492" s="328">
        <v>39</v>
      </c>
      <c r="K492" s="329">
        <v>3901</v>
      </c>
      <c r="L492" s="325" t="s">
        <v>2798</v>
      </c>
      <c r="M492" s="326" t="s">
        <v>2076</v>
      </c>
      <c r="N492" s="326"/>
      <c r="O492" s="330">
        <v>1008365.32</v>
      </c>
      <c r="P492" s="330">
        <v>1905.87</v>
      </c>
      <c r="Q492" s="331">
        <v>3901</v>
      </c>
      <c r="R492" s="330">
        <v>1</v>
      </c>
      <c r="S492" s="330">
        <v>1</v>
      </c>
      <c r="T492" s="326" t="s">
        <v>170</v>
      </c>
      <c r="U492" s="326" t="s">
        <v>2040</v>
      </c>
      <c r="V492" s="332" t="s">
        <v>228</v>
      </c>
      <c r="W492" s="333" t="s">
        <v>228</v>
      </c>
    </row>
    <row r="493" spans="1:23" ht="45" customHeight="1" x14ac:dyDescent="0.4">
      <c r="A493" s="323">
        <v>390311</v>
      </c>
      <c r="B493" s="324" t="s">
        <v>4590</v>
      </c>
      <c r="C493" s="325" t="s">
        <v>2808</v>
      </c>
      <c r="D493" s="326" t="s">
        <v>2045</v>
      </c>
      <c r="E493" s="327" t="s">
        <v>1218</v>
      </c>
      <c r="F493" s="327"/>
      <c r="G493" s="327" t="s">
        <v>1219</v>
      </c>
      <c r="H493" s="325" t="s">
        <v>2283</v>
      </c>
      <c r="I493" s="325" t="s">
        <v>228</v>
      </c>
      <c r="J493" s="328">
        <v>39</v>
      </c>
      <c r="K493" s="329">
        <v>3901</v>
      </c>
      <c r="L493" s="325" t="s">
        <v>2798</v>
      </c>
      <c r="M493" s="326" t="s">
        <v>2076</v>
      </c>
      <c r="N493" s="326"/>
      <c r="O493" s="330">
        <v>1008365.32</v>
      </c>
      <c r="P493" s="330">
        <v>1905.87</v>
      </c>
      <c r="Q493" s="331">
        <v>3901</v>
      </c>
      <c r="R493" s="330">
        <v>1</v>
      </c>
      <c r="S493" s="330">
        <v>1</v>
      </c>
      <c r="T493" s="326" t="s">
        <v>170</v>
      </c>
      <c r="U493" s="326" t="s">
        <v>2040</v>
      </c>
      <c r="V493" s="332">
        <v>39034</v>
      </c>
      <c r="W493" s="333">
        <v>39017</v>
      </c>
    </row>
    <row r="494" spans="1:23" ht="45" customHeight="1" x14ac:dyDescent="0.4">
      <c r="A494" s="323">
        <v>390381</v>
      </c>
      <c r="B494" s="324" t="s">
        <v>4591</v>
      </c>
      <c r="C494" s="325" t="s">
        <v>2809</v>
      </c>
      <c r="D494" s="326" t="s">
        <v>2045</v>
      </c>
      <c r="E494" s="327" t="s">
        <v>1220</v>
      </c>
      <c r="F494" s="327"/>
      <c r="G494" s="327" t="s">
        <v>1221</v>
      </c>
      <c r="H494" s="325" t="s">
        <v>2283</v>
      </c>
      <c r="I494" s="325" t="s">
        <v>228</v>
      </c>
      <c r="J494" s="328">
        <v>39</v>
      </c>
      <c r="K494" s="329">
        <v>3901</v>
      </c>
      <c r="L494" s="325" t="s">
        <v>2798</v>
      </c>
      <c r="M494" s="326" t="s">
        <v>2076</v>
      </c>
      <c r="N494" s="326"/>
      <c r="O494" s="330">
        <v>1008365.32</v>
      </c>
      <c r="P494" s="330">
        <v>1905.87</v>
      </c>
      <c r="Q494" s="331">
        <v>3901</v>
      </c>
      <c r="R494" s="330">
        <v>1</v>
      </c>
      <c r="S494" s="330">
        <v>1</v>
      </c>
      <c r="T494" s="326" t="s">
        <v>170</v>
      </c>
      <c r="U494" s="326" t="s">
        <v>2040</v>
      </c>
      <c r="V494" s="332">
        <v>39034</v>
      </c>
      <c r="W494" s="333">
        <v>39017</v>
      </c>
    </row>
    <row r="495" spans="1:23" ht="45" customHeight="1" x14ac:dyDescent="0.4">
      <c r="A495" s="323">
        <v>390531</v>
      </c>
      <c r="B495" s="324" t="s">
        <v>4592</v>
      </c>
      <c r="C495" s="325" t="s">
        <v>2810</v>
      </c>
      <c r="D495" s="326" t="s">
        <v>2045</v>
      </c>
      <c r="E495" s="327" t="s">
        <v>4593</v>
      </c>
      <c r="F495" s="327" t="s">
        <v>2785</v>
      </c>
      <c r="G495" s="327" t="s">
        <v>1222</v>
      </c>
      <c r="H495" s="325" t="s">
        <v>2283</v>
      </c>
      <c r="I495" s="325" t="s">
        <v>228</v>
      </c>
      <c r="J495" s="328">
        <v>39</v>
      </c>
      <c r="K495" s="329">
        <v>3901</v>
      </c>
      <c r="L495" s="325" t="s">
        <v>2798</v>
      </c>
      <c r="M495" s="326" t="s">
        <v>2076</v>
      </c>
      <c r="N495" s="326"/>
      <c r="O495" s="330">
        <v>1008365.32</v>
      </c>
      <c r="P495" s="330">
        <v>1905.87</v>
      </c>
      <c r="Q495" s="331">
        <v>3901</v>
      </c>
      <c r="R495" s="330">
        <v>1</v>
      </c>
      <c r="S495" s="330">
        <v>1</v>
      </c>
      <c r="T495" s="326" t="s">
        <v>170</v>
      </c>
      <c r="U495" s="326" t="s">
        <v>2040</v>
      </c>
      <c r="V495" s="332">
        <v>39040</v>
      </c>
      <c r="W495" s="333">
        <v>14945</v>
      </c>
    </row>
    <row r="496" spans="1:23" ht="45" customHeight="1" x14ac:dyDescent="0.4">
      <c r="A496" s="323">
        <v>390551</v>
      </c>
      <c r="B496" s="324" t="s">
        <v>4594</v>
      </c>
      <c r="C496" s="325" t="s">
        <v>2811</v>
      </c>
      <c r="D496" s="326" t="s">
        <v>2045</v>
      </c>
      <c r="E496" s="327" t="s">
        <v>1223</v>
      </c>
      <c r="F496" s="327"/>
      <c r="G496" s="327" t="s">
        <v>1224</v>
      </c>
      <c r="H496" s="325" t="s">
        <v>2283</v>
      </c>
      <c r="I496" s="325" t="s">
        <v>228</v>
      </c>
      <c r="J496" s="328">
        <v>39</v>
      </c>
      <c r="K496" s="329">
        <v>3901</v>
      </c>
      <c r="L496" s="325" t="s">
        <v>2798</v>
      </c>
      <c r="M496" s="326" t="s">
        <v>2076</v>
      </c>
      <c r="N496" s="326"/>
      <c r="O496" s="330">
        <v>1008365.32</v>
      </c>
      <c r="P496" s="330">
        <v>1905.87</v>
      </c>
      <c r="Q496" s="331">
        <v>3901</v>
      </c>
      <c r="R496" s="330">
        <v>1</v>
      </c>
      <c r="S496" s="330">
        <v>1</v>
      </c>
      <c r="T496" s="326" t="s">
        <v>170</v>
      </c>
      <c r="U496" s="326" t="s">
        <v>2040</v>
      </c>
      <c r="V496" s="332">
        <v>39040</v>
      </c>
      <c r="W496" s="333">
        <v>39012</v>
      </c>
    </row>
    <row r="497" spans="1:23" ht="45" customHeight="1" x14ac:dyDescent="0.4">
      <c r="A497" s="323">
        <v>390562</v>
      </c>
      <c r="B497" s="324" t="s">
        <v>4595</v>
      </c>
      <c r="C497" s="325" t="s">
        <v>2812</v>
      </c>
      <c r="D497" s="326" t="s">
        <v>2045</v>
      </c>
      <c r="E497" s="327" t="s">
        <v>1225</v>
      </c>
      <c r="F497" s="327"/>
      <c r="G497" s="327" t="s">
        <v>1226</v>
      </c>
      <c r="H497" s="325" t="s">
        <v>2283</v>
      </c>
      <c r="I497" s="325" t="s">
        <v>228</v>
      </c>
      <c r="J497" s="328">
        <v>39</v>
      </c>
      <c r="K497" s="329">
        <v>3901</v>
      </c>
      <c r="L497" s="325" t="s">
        <v>2798</v>
      </c>
      <c r="M497" s="326" t="s">
        <v>2076</v>
      </c>
      <c r="N497" s="326"/>
      <c r="O497" s="330">
        <v>1008365.32</v>
      </c>
      <c r="P497" s="330">
        <v>1905.87</v>
      </c>
      <c r="Q497" s="331">
        <v>3901</v>
      </c>
      <c r="R497" s="330">
        <v>1</v>
      </c>
      <c r="S497" s="330">
        <v>1</v>
      </c>
      <c r="T497" s="326" t="s">
        <v>170</v>
      </c>
      <c r="U497" s="326" t="s">
        <v>2040</v>
      </c>
      <c r="V497" s="332" t="s">
        <v>228</v>
      </c>
      <c r="W497" s="333" t="s">
        <v>228</v>
      </c>
    </row>
    <row r="498" spans="1:23" ht="45" customHeight="1" x14ac:dyDescent="0.4">
      <c r="A498" s="335">
        <v>390598</v>
      </c>
      <c r="B498" s="324" t="s">
        <v>4596</v>
      </c>
      <c r="C498" s="325" t="s">
        <v>4597</v>
      </c>
      <c r="D498" s="326" t="s">
        <v>2045</v>
      </c>
      <c r="E498" s="327" t="s">
        <v>4598</v>
      </c>
      <c r="F498" s="327" t="s">
        <v>4599</v>
      </c>
      <c r="G498" s="327" t="s">
        <v>383</v>
      </c>
      <c r="H498" s="325" t="e">
        <v>#N/A</v>
      </c>
      <c r="I498" s="325" t="e">
        <v>#N/A</v>
      </c>
      <c r="J498" s="328">
        <v>98</v>
      </c>
      <c r="K498" s="329">
        <v>3905</v>
      </c>
      <c r="L498" s="325" t="s">
        <v>4600</v>
      </c>
      <c r="M498" s="326" t="s">
        <v>2039</v>
      </c>
      <c r="N498" s="326"/>
      <c r="O498" s="330">
        <v>0</v>
      </c>
      <c r="P498" s="330">
        <v>0</v>
      </c>
      <c r="Q498" s="331">
        <v>3905</v>
      </c>
      <c r="R498" s="330">
        <v>0</v>
      </c>
      <c r="S498" s="330">
        <v>0</v>
      </c>
      <c r="T498" s="326" t="s">
        <v>170</v>
      </c>
      <c r="U498" s="326" t="s">
        <v>2040</v>
      </c>
      <c r="V498" s="332"/>
      <c r="W498" s="333"/>
    </row>
    <row r="499" spans="1:23" ht="45" customHeight="1" x14ac:dyDescent="0.4">
      <c r="A499" s="323">
        <v>390611</v>
      </c>
      <c r="B499" s="324" t="s">
        <v>4601</v>
      </c>
      <c r="C499" s="325" t="s">
        <v>2813</v>
      </c>
      <c r="D499" s="326" t="s">
        <v>2045</v>
      </c>
      <c r="E499" s="327" t="s">
        <v>1227</v>
      </c>
      <c r="F499" s="327"/>
      <c r="G499" s="327" t="s">
        <v>1228</v>
      </c>
      <c r="H499" s="325" t="s">
        <v>2283</v>
      </c>
      <c r="I499" s="325" t="s">
        <v>228</v>
      </c>
      <c r="J499" s="328">
        <v>39</v>
      </c>
      <c r="K499" s="329">
        <v>3901</v>
      </c>
      <c r="L499" s="325" t="s">
        <v>2798</v>
      </c>
      <c r="M499" s="326" t="s">
        <v>2076</v>
      </c>
      <c r="N499" s="326"/>
      <c r="O499" s="330">
        <v>1008365.32</v>
      </c>
      <c r="P499" s="330">
        <v>1905.87</v>
      </c>
      <c r="Q499" s="331">
        <v>3901</v>
      </c>
      <c r="R499" s="330">
        <v>1</v>
      </c>
      <c r="S499" s="330">
        <v>1</v>
      </c>
      <c r="T499" s="326" t="s">
        <v>170</v>
      </c>
      <c r="U499" s="326" t="s">
        <v>2040</v>
      </c>
      <c r="V499" s="332" t="s">
        <v>228</v>
      </c>
      <c r="W499" s="333">
        <v>39018</v>
      </c>
    </row>
    <row r="500" spans="1:23" ht="45" customHeight="1" x14ac:dyDescent="0.4">
      <c r="A500" s="323">
        <v>390612</v>
      </c>
      <c r="B500" s="324" t="s">
        <v>4602</v>
      </c>
      <c r="C500" s="325" t="s">
        <v>2814</v>
      </c>
      <c r="D500" s="326" t="s">
        <v>2045</v>
      </c>
      <c r="E500" s="327" t="s">
        <v>1229</v>
      </c>
      <c r="F500" s="327"/>
      <c r="G500" s="327" t="s">
        <v>1230</v>
      </c>
      <c r="H500" s="325" t="s">
        <v>2283</v>
      </c>
      <c r="I500" s="325" t="s">
        <v>228</v>
      </c>
      <c r="J500" s="328">
        <v>39</v>
      </c>
      <c r="K500" s="329">
        <v>3901</v>
      </c>
      <c r="L500" s="325" t="s">
        <v>2798</v>
      </c>
      <c r="M500" s="326" t="s">
        <v>2076</v>
      </c>
      <c r="N500" s="326"/>
      <c r="O500" s="330">
        <v>1008365.32</v>
      </c>
      <c r="P500" s="330">
        <v>1905.87</v>
      </c>
      <c r="Q500" s="331">
        <v>3901</v>
      </c>
      <c r="R500" s="330">
        <v>1</v>
      </c>
      <c r="S500" s="330">
        <v>1</v>
      </c>
      <c r="T500" s="326" t="s">
        <v>170</v>
      </c>
      <c r="U500" s="326" t="s">
        <v>2040</v>
      </c>
      <c r="V500" s="332">
        <v>39064</v>
      </c>
      <c r="W500" s="333">
        <v>39018</v>
      </c>
    </row>
    <row r="501" spans="1:23" ht="45" customHeight="1" x14ac:dyDescent="0.4">
      <c r="A501" s="323">
        <v>390614</v>
      </c>
      <c r="B501" s="324" t="s">
        <v>4603</v>
      </c>
      <c r="C501" s="325" t="s">
        <v>2815</v>
      </c>
      <c r="D501" s="326" t="s">
        <v>2045</v>
      </c>
      <c r="E501" s="327" t="s">
        <v>1231</v>
      </c>
      <c r="F501" s="327"/>
      <c r="G501" s="327" t="s">
        <v>1232</v>
      </c>
      <c r="H501" s="325" t="s">
        <v>2283</v>
      </c>
      <c r="I501" s="325" t="s">
        <v>228</v>
      </c>
      <c r="J501" s="328">
        <v>39</v>
      </c>
      <c r="K501" s="329">
        <v>3904</v>
      </c>
      <c r="L501" s="325" t="s">
        <v>2816</v>
      </c>
      <c r="M501" s="326" t="s">
        <v>2076</v>
      </c>
      <c r="N501" s="326"/>
      <c r="O501" s="330">
        <v>8830921.6999999993</v>
      </c>
      <c r="P501" s="330">
        <v>67047.22</v>
      </c>
      <c r="Q501" s="331">
        <v>3904</v>
      </c>
      <c r="R501" s="330">
        <v>1</v>
      </c>
      <c r="S501" s="330">
        <v>1</v>
      </c>
      <c r="T501" s="326" t="s">
        <v>170</v>
      </c>
      <c r="U501" s="326" t="s">
        <v>2040</v>
      </c>
      <c r="V501" s="332" t="s">
        <v>228</v>
      </c>
      <c r="W501" s="333" t="s">
        <v>228</v>
      </c>
    </row>
    <row r="502" spans="1:23" ht="45" customHeight="1" x14ac:dyDescent="0.4">
      <c r="A502" s="323">
        <v>390719</v>
      </c>
      <c r="B502" s="324" t="s">
        <v>4604</v>
      </c>
      <c r="C502" s="325" t="s">
        <v>2817</v>
      </c>
      <c r="D502" s="326" t="s">
        <v>2045</v>
      </c>
      <c r="E502" s="327" t="s">
        <v>1233</v>
      </c>
      <c r="F502" s="327"/>
      <c r="G502" s="327" t="s">
        <v>1234</v>
      </c>
      <c r="H502" s="325" t="s">
        <v>2283</v>
      </c>
      <c r="I502" s="325" t="s">
        <v>228</v>
      </c>
      <c r="J502" s="328">
        <v>39</v>
      </c>
      <c r="K502" s="329">
        <v>3901</v>
      </c>
      <c r="L502" s="325" t="s">
        <v>2798</v>
      </c>
      <c r="M502" s="326" t="s">
        <v>2076</v>
      </c>
      <c r="N502" s="326"/>
      <c r="O502" s="330">
        <v>1008365.32</v>
      </c>
      <c r="P502" s="330">
        <v>1905.87</v>
      </c>
      <c r="Q502" s="331">
        <v>3901</v>
      </c>
      <c r="R502" s="330">
        <v>1</v>
      </c>
      <c r="S502" s="330">
        <v>1</v>
      </c>
      <c r="T502" s="326" t="s">
        <v>170</v>
      </c>
      <c r="U502" s="326" t="s">
        <v>2040</v>
      </c>
      <c r="V502" s="332" t="s">
        <v>228</v>
      </c>
      <c r="W502" s="333" t="s">
        <v>228</v>
      </c>
    </row>
    <row r="503" spans="1:23" ht="45" customHeight="1" x14ac:dyDescent="0.4">
      <c r="A503" s="323">
        <v>390915</v>
      </c>
      <c r="B503" s="324" t="s">
        <v>4605</v>
      </c>
      <c r="C503" s="325" t="s">
        <v>2819</v>
      </c>
      <c r="D503" s="326" t="s">
        <v>2045</v>
      </c>
      <c r="E503" s="327" t="s">
        <v>1235</v>
      </c>
      <c r="F503" s="327"/>
      <c r="G503" s="327" t="s">
        <v>1236</v>
      </c>
      <c r="H503" s="325" t="s">
        <v>2283</v>
      </c>
      <c r="I503" s="325" t="s">
        <v>228</v>
      </c>
      <c r="J503" s="328">
        <v>39</v>
      </c>
      <c r="K503" s="329">
        <v>3901</v>
      </c>
      <c r="L503" s="325" t="s">
        <v>2798</v>
      </c>
      <c r="M503" s="326" t="s">
        <v>2076</v>
      </c>
      <c r="N503" s="326"/>
      <c r="O503" s="330">
        <v>1008365.32</v>
      </c>
      <c r="P503" s="330">
        <v>1905.87</v>
      </c>
      <c r="Q503" s="331">
        <v>3901</v>
      </c>
      <c r="R503" s="330">
        <v>1</v>
      </c>
      <c r="S503" s="330">
        <v>1</v>
      </c>
      <c r="T503" s="326" t="s">
        <v>170</v>
      </c>
      <c r="U503" s="326" t="s">
        <v>2040</v>
      </c>
      <c r="V503" s="332">
        <v>39024</v>
      </c>
      <c r="W503" s="333">
        <v>39017</v>
      </c>
    </row>
    <row r="504" spans="1:23" ht="45" customHeight="1" x14ac:dyDescent="0.4">
      <c r="A504" s="323">
        <v>411123</v>
      </c>
      <c r="B504" s="324" t="s">
        <v>4606</v>
      </c>
      <c r="C504" s="325" t="s">
        <v>2820</v>
      </c>
      <c r="D504" s="326" t="s">
        <v>2045</v>
      </c>
      <c r="E504" s="327" t="s">
        <v>1237</v>
      </c>
      <c r="F504" s="327" t="s">
        <v>4607</v>
      </c>
      <c r="G504" s="327" t="s">
        <v>1238</v>
      </c>
      <c r="H504" s="325" t="s">
        <v>2035</v>
      </c>
      <c r="I504" s="325" t="s">
        <v>2085</v>
      </c>
      <c r="J504" s="328">
        <v>41</v>
      </c>
      <c r="K504" s="329">
        <v>4114</v>
      </c>
      <c r="L504" s="325" t="s">
        <v>2822</v>
      </c>
      <c r="M504" s="326" t="s">
        <v>2101</v>
      </c>
      <c r="N504" s="326"/>
      <c r="O504" s="330">
        <v>21.45</v>
      </c>
      <c r="P504" s="330">
        <v>0.09</v>
      </c>
      <c r="Q504" s="331">
        <v>4114</v>
      </c>
      <c r="R504" s="330">
        <v>60000</v>
      </c>
      <c r="S504" s="330">
        <v>15000</v>
      </c>
      <c r="T504" s="326" t="s">
        <v>170</v>
      </c>
      <c r="U504" s="326" t="s">
        <v>2040</v>
      </c>
      <c r="V504" s="332" t="s">
        <v>228</v>
      </c>
      <c r="W504" s="333" t="s">
        <v>228</v>
      </c>
    </row>
    <row r="505" spans="1:23" ht="45" customHeight="1" x14ac:dyDescent="0.4">
      <c r="A505" s="323">
        <v>411127</v>
      </c>
      <c r="B505" s="324" t="s">
        <v>4608</v>
      </c>
      <c r="C505" s="325" t="s">
        <v>2823</v>
      </c>
      <c r="D505" s="326" t="s">
        <v>2045</v>
      </c>
      <c r="E505" s="327" t="s">
        <v>1239</v>
      </c>
      <c r="F505" s="327" t="s">
        <v>4609</v>
      </c>
      <c r="G505" s="327" t="s">
        <v>1240</v>
      </c>
      <c r="H505" s="325" t="s">
        <v>2035</v>
      </c>
      <c r="I505" s="325" t="s">
        <v>2085</v>
      </c>
      <c r="J505" s="328">
        <v>41</v>
      </c>
      <c r="K505" s="329">
        <v>4114</v>
      </c>
      <c r="L505" s="325" t="s">
        <v>2822</v>
      </c>
      <c r="M505" s="326" t="s">
        <v>2101</v>
      </c>
      <c r="N505" s="326"/>
      <c r="O505" s="330">
        <v>21.45</v>
      </c>
      <c r="P505" s="330">
        <v>0.09</v>
      </c>
      <c r="Q505" s="331">
        <v>4114</v>
      </c>
      <c r="R505" s="330">
        <v>60000</v>
      </c>
      <c r="S505" s="330">
        <v>15000</v>
      </c>
      <c r="T505" s="326" t="s">
        <v>170</v>
      </c>
      <c r="U505" s="326" t="s">
        <v>2040</v>
      </c>
      <c r="V505" s="332" t="s">
        <v>228</v>
      </c>
      <c r="W505" s="333" t="s">
        <v>228</v>
      </c>
    </row>
    <row r="506" spans="1:23" ht="45" customHeight="1" x14ac:dyDescent="0.4">
      <c r="A506" s="323">
        <v>411128</v>
      </c>
      <c r="B506" s="324" t="s">
        <v>4610</v>
      </c>
      <c r="C506" s="325" t="s">
        <v>2824</v>
      </c>
      <c r="D506" s="326" t="s">
        <v>2045</v>
      </c>
      <c r="E506" s="327" t="s">
        <v>4611</v>
      </c>
      <c r="F506" s="327" t="s">
        <v>4612</v>
      </c>
      <c r="G506" s="327" t="s">
        <v>1241</v>
      </c>
      <c r="H506" s="325" t="s">
        <v>2035</v>
      </c>
      <c r="I506" s="325" t="s">
        <v>2085</v>
      </c>
      <c r="J506" s="328">
        <v>41</v>
      </c>
      <c r="K506" s="329">
        <v>4111</v>
      </c>
      <c r="L506" s="325" t="s">
        <v>2825</v>
      </c>
      <c r="M506" s="326" t="s">
        <v>2826</v>
      </c>
      <c r="N506" s="326"/>
      <c r="O506" s="330">
        <v>80.459999999999994</v>
      </c>
      <c r="P506" s="330">
        <v>4.01</v>
      </c>
      <c r="Q506" s="331">
        <v>4111</v>
      </c>
      <c r="R506" s="330">
        <v>100000</v>
      </c>
      <c r="S506" s="330">
        <v>8400</v>
      </c>
      <c r="T506" s="326" t="s">
        <v>170</v>
      </c>
      <c r="U506" s="326" t="s">
        <v>2040</v>
      </c>
      <c r="V506" s="332" t="s">
        <v>2827</v>
      </c>
      <c r="W506" s="333" t="s">
        <v>228</v>
      </c>
    </row>
    <row r="507" spans="1:23" ht="45" customHeight="1" x14ac:dyDescent="0.4">
      <c r="A507" s="323">
        <v>411131</v>
      </c>
      <c r="B507" s="324" t="s">
        <v>4613</v>
      </c>
      <c r="C507" s="325" t="s">
        <v>2828</v>
      </c>
      <c r="D507" s="326" t="s">
        <v>2045</v>
      </c>
      <c r="E507" s="327" t="s">
        <v>4614</v>
      </c>
      <c r="F507" s="327" t="s">
        <v>2821</v>
      </c>
      <c r="G507" s="327" t="s">
        <v>1242</v>
      </c>
      <c r="H507" s="325" t="s">
        <v>2829</v>
      </c>
      <c r="I507" s="325" t="s">
        <v>2830</v>
      </c>
      <c r="J507" s="328">
        <v>41</v>
      </c>
      <c r="K507" s="329">
        <v>4111</v>
      </c>
      <c r="L507" s="325" t="s">
        <v>2825</v>
      </c>
      <c r="M507" s="326" t="s">
        <v>2826</v>
      </c>
      <c r="N507" s="326"/>
      <c r="O507" s="330">
        <v>80.459999999999994</v>
      </c>
      <c r="P507" s="330">
        <v>4.01</v>
      </c>
      <c r="Q507" s="331">
        <v>4111</v>
      </c>
      <c r="R507" s="330">
        <v>100000</v>
      </c>
      <c r="S507" s="330">
        <v>8400</v>
      </c>
      <c r="T507" s="326" t="s">
        <v>170</v>
      </c>
      <c r="U507" s="326" t="s">
        <v>2040</v>
      </c>
      <c r="V507" s="332" t="s">
        <v>2831</v>
      </c>
      <c r="W507" s="333">
        <v>41120</v>
      </c>
    </row>
    <row r="508" spans="1:23" ht="45" customHeight="1" x14ac:dyDescent="0.4">
      <c r="A508" s="323">
        <v>411132</v>
      </c>
      <c r="B508" s="324" t="s">
        <v>4615</v>
      </c>
      <c r="C508" s="325" t="s">
        <v>2832</v>
      </c>
      <c r="D508" s="326" t="s">
        <v>2045</v>
      </c>
      <c r="E508" s="327" t="s">
        <v>4616</v>
      </c>
      <c r="F508" s="327"/>
      <c r="G508" s="327" t="s">
        <v>1243</v>
      </c>
      <c r="H508" s="325" t="s">
        <v>2829</v>
      </c>
      <c r="I508" s="325" t="s">
        <v>2830</v>
      </c>
      <c r="J508" s="328">
        <v>41</v>
      </c>
      <c r="K508" s="329">
        <v>4121</v>
      </c>
      <c r="L508" s="325" t="s">
        <v>2833</v>
      </c>
      <c r="M508" s="326" t="s">
        <v>2101</v>
      </c>
      <c r="N508" s="326"/>
      <c r="O508" s="330">
        <v>12.3</v>
      </c>
      <c r="P508" s="330">
        <v>0.11</v>
      </c>
      <c r="Q508" s="331">
        <v>4121</v>
      </c>
      <c r="R508" s="330">
        <v>1500000</v>
      </c>
      <c r="S508" s="330">
        <v>29000</v>
      </c>
      <c r="T508" s="326" t="s">
        <v>170</v>
      </c>
      <c r="U508" s="326" t="s">
        <v>2040</v>
      </c>
      <c r="V508" s="332">
        <v>41170</v>
      </c>
      <c r="W508" s="333">
        <v>41225</v>
      </c>
    </row>
    <row r="509" spans="1:23" ht="45" customHeight="1" x14ac:dyDescent="0.4">
      <c r="A509" s="323">
        <v>411134</v>
      </c>
      <c r="B509" s="324" t="s">
        <v>4617</v>
      </c>
      <c r="C509" s="325" t="s">
        <v>2834</v>
      </c>
      <c r="D509" s="326" t="s">
        <v>2045</v>
      </c>
      <c r="E509" s="327" t="s">
        <v>4618</v>
      </c>
      <c r="F509" s="327" t="s">
        <v>4619</v>
      </c>
      <c r="G509" s="327" t="s">
        <v>1244</v>
      </c>
      <c r="H509" s="325" t="s">
        <v>2829</v>
      </c>
      <c r="I509" s="325" t="s">
        <v>2830</v>
      </c>
      <c r="J509" s="328">
        <v>41</v>
      </c>
      <c r="K509" s="329">
        <v>4111</v>
      </c>
      <c r="L509" s="325" t="s">
        <v>2825</v>
      </c>
      <c r="M509" s="326" t="s">
        <v>2826</v>
      </c>
      <c r="N509" s="326"/>
      <c r="O509" s="330">
        <v>80.459999999999994</v>
      </c>
      <c r="P509" s="330">
        <v>4.01</v>
      </c>
      <c r="Q509" s="331">
        <v>4111</v>
      </c>
      <c r="R509" s="330">
        <v>100000</v>
      </c>
      <c r="S509" s="330">
        <v>8400</v>
      </c>
      <c r="T509" s="326" t="s">
        <v>170</v>
      </c>
      <c r="U509" s="326" t="s">
        <v>2040</v>
      </c>
      <c r="V509" s="332" t="s">
        <v>2835</v>
      </c>
      <c r="W509" s="333">
        <v>41130</v>
      </c>
    </row>
    <row r="510" spans="1:23" ht="45" customHeight="1" x14ac:dyDescent="0.4">
      <c r="A510" s="323">
        <v>411135</v>
      </c>
      <c r="B510" s="324" t="s">
        <v>4620</v>
      </c>
      <c r="C510" s="325" t="s">
        <v>2836</v>
      </c>
      <c r="D510" s="326" t="s">
        <v>2045</v>
      </c>
      <c r="E510" s="327" t="s">
        <v>4621</v>
      </c>
      <c r="F510" s="327" t="s">
        <v>4619</v>
      </c>
      <c r="G510" s="327" t="s">
        <v>1245</v>
      </c>
      <c r="H510" s="325" t="s">
        <v>2829</v>
      </c>
      <c r="I510" s="325" t="s">
        <v>2830</v>
      </c>
      <c r="J510" s="328">
        <v>41</v>
      </c>
      <c r="K510" s="329">
        <v>4111</v>
      </c>
      <c r="L510" s="325" t="s">
        <v>2825</v>
      </c>
      <c r="M510" s="326" t="s">
        <v>2826</v>
      </c>
      <c r="N510" s="326"/>
      <c r="O510" s="330">
        <v>80.459999999999994</v>
      </c>
      <c r="P510" s="330">
        <v>4.01</v>
      </c>
      <c r="Q510" s="331">
        <v>4111</v>
      </c>
      <c r="R510" s="330">
        <v>100000</v>
      </c>
      <c r="S510" s="330">
        <v>8400</v>
      </c>
      <c r="T510" s="326" t="s">
        <v>170</v>
      </c>
      <c r="U510" s="326" t="s">
        <v>2040</v>
      </c>
      <c r="V510" s="332" t="s">
        <v>2837</v>
      </c>
      <c r="W510" s="333">
        <v>41150</v>
      </c>
    </row>
    <row r="511" spans="1:23" ht="45" customHeight="1" x14ac:dyDescent="0.4">
      <c r="A511" s="323">
        <v>411137</v>
      </c>
      <c r="B511" s="324" t="s">
        <v>4622</v>
      </c>
      <c r="C511" s="325" t="s">
        <v>2838</v>
      </c>
      <c r="D511" s="326" t="s">
        <v>2045</v>
      </c>
      <c r="E511" s="327" t="s">
        <v>4623</v>
      </c>
      <c r="F511" s="327" t="s">
        <v>4624</v>
      </c>
      <c r="G511" s="327" t="s">
        <v>1246</v>
      </c>
      <c r="H511" s="325" t="s">
        <v>2829</v>
      </c>
      <c r="I511" s="325" t="s">
        <v>2830</v>
      </c>
      <c r="J511" s="328">
        <v>41</v>
      </c>
      <c r="K511" s="329">
        <v>4111</v>
      </c>
      <c r="L511" s="325" t="s">
        <v>2825</v>
      </c>
      <c r="M511" s="326" t="s">
        <v>2826</v>
      </c>
      <c r="N511" s="326"/>
      <c r="O511" s="330">
        <v>80.459999999999994</v>
      </c>
      <c r="P511" s="330">
        <v>4.01</v>
      </c>
      <c r="Q511" s="331">
        <v>4111</v>
      </c>
      <c r="R511" s="330">
        <v>100000</v>
      </c>
      <c r="S511" s="330">
        <v>8400</v>
      </c>
      <c r="T511" s="326" t="s">
        <v>170</v>
      </c>
      <c r="U511" s="326" t="s">
        <v>2040</v>
      </c>
      <c r="V511" s="332" t="s">
        <v>2839</v>
      </c>
      <c r="W511" s="333">
        <v>41140</v>
      </c>
    </row>
    <row r="512" spans="1:23" ht="45" customHeight="1" x14ac:dyDescent="0.4">
      <c r="A512" s="323">
        <v>411138</v>
      </c>
      <c r="B512" s="324" t="s">
        <v>4625</v>
      </c>
      <c r="C512" s="325" t="s">
        <v>2840</v>
      </c>
      <c r="D512" s="326" t="s">
        <v>2045</v>
      </c>
      <c r="E512" s="327" t="s">
        <v>4626</v>
      </c>
      <c r="F512" s="327"/>
      <c r="G512" s="327" t="s">
        <v>1247</v>
      </c>
      <c r="H512" s="325" t="s">
        <v>2829</v>
      </c>
      <c r="I512" s="325" t="s">
        <v>2830</v>
      </c>
      <c r="J512" s="328">
        <v>41</v>
      </c>
      <c r="K512" s="329">
        <v>4121</v>
      </c>
      <c r="L512" s="325" t="s">
        <v>2833</v>
      </c>
      <c r="M512" s="326" t="s">
        <v>2101</v>
      </c>
      <c r="N512" s="326"/>
      <c r="O512" s="330">
        <v>12.3</v>
      </c>
      <c r="P512" s="330">
        <v>0.11</v>
      </c>
      <c r="Q512" s="331">
        <v>4121</v>
      </c>
      <c r="R512" s="330">
        <v>1500000</v>
      </c>
      <c r="S512" s="330">
        <v>29000</v>
      </c>
      <c r="T512" s="326" t="s">
        <v>170</v>
      </c>
      <c r="U512" s="326" t="s">
        <v>2040</v>
      </c>
      <c r="V512" s="332">
        <v>41210</v>
      </c>
      <c r="W512" s="333">
        <v>41245</v>
      </c>
    </row>
    <row r="513" spans="1:23" ht="45" customHeight="1" x14ac:dyDescent="0.4">
      <c r="A513" s="323">
        <v>411139</v>
      </c>
      <c r="B513" s="324" t="s">
        <v>4627</v>
      </c>
      <c r="C513" s="325" t="s">
        <v>2841</v>
      </c>
      <c r="D513" s="326" t="s">
        <v>2045</v>
      </c>
      <c r="E513" s="327" t="s">
        <v>4628</v>
      </c>
      <c r="F513" s="327" t="s">
        <v>4624</v>
      </c>
      <c r="G513" s="327" t="s">
        <v>1248</v>
      </c>
      <c r="H513" s="325" t="s">
        <v>2829</v>
      </c>
      <c r="I513" s="325" t="s">
        <v>2830</v>
      </c>
      <c r="J513" s="328">
        <v>41</v>
      </c>
      <c r="K513" s="329">
        <v>4111</v>
      </c>
      <c r="L513" s="325" t="s">
        <v>2825</v>
      </c>
      <c r="M513" s="326" t="s">
        <v>2826</v>
      </c>
      <c r="N513" s="326"/>
      <c r="O513" s="330">
        <v>80.459999999999994</v>
      </c>
      <c r="P513" s="330">
        <v>4.01</v>
      </c>
      <c r="Q513" s="331">
        <v>4111</v>
      </c>
      <c r="R513" s="330">
        <v>100000</v>
      </c>
      <c r="S513" s="330">
        <v>8400</v>
      </c>
      <c r="T513" s="326" t="s">
        <v>170</v>
      </c>
      <c r="U513" s="326" t="s">
        <v>2040</v>
      </c>
      <c r="V513" s="332" t="s">
        <v>228</v>
      </c>
      <c r="W513" s="333" t="s">
        <v>228</v>
      </c>
    </row>
    <row r="514" spans="1:23" ht="45" customHeight="1" x14ac:dyDescent="0.4">
      <c r="A514" s="335">
        <v>411140</v>
      </c>
      <c r="B514" s="324" t="s">
        <v>4629</v>
      </c>
      <c r="C514" s="325" t="s">
        <v>3853</v>
      </c>
      <c r="D514" s="326" t="s">
        <v>2045</v>
      </c>
      <c r="E514" s="327" t="s">
        <v>4630</v>
      </c>
      <c r="F514" s="327"/>
      <c r="G514" s="327" t="s">
        <v>383</v>
      </c>
      <c r="H514" s="325" t="e">
        <v>#N/A</v>
      </c>
      <c r="I514" s="325" t="e">
        <v>#N/A</v>
      </c>
      <c r="J514" s="326">
        <v>41</v>
      </c>
      <c r="K514" s="329">
        <v>4111</v>
      </c>
      <c r="L514" s="325" t="s">
        <v>2825</v>
      </c>
      <c r="M514" s="326" t="s">
        <v>2826</v>
      </c>
      <c r="N514" s="326"/>
      <c r="O514" s="330">
        <v>80.459999999999994</v>
      </c>
      <c r="P514" s="330">
        <v>4.01</v>
      </c>
      <c r="Q514" s="331">
        <v>4111</v>
      </c>
      <c r="R514" s="330">
        <v>100000</v>
      </c>
      <c r="S514" s="330">
        <v>8400</v>
      </c>
      <c r="T514" s="326" t="s">
        <v>170</v>
      </c>
      <c r="U514" s="326" t="s">
        <v>2040</v>
      </c>
      <c r="V514" s="332"/>
      <c r="W514" s="333"/>
    </row>
    <row r="515" spans="1:23" ht="45" customHeight="1" x14ac:dyDescent="0.4">
      <c r="A515" s="323">
        <v>411240</v>
      </c>
      <c r="B515" s="324" t="s">
        <v>4631</v>
      </c>
      <c r="C515" s="325" t="s">
        <v>2842</v>
      </c>
      <c r="D515" s="326" t="s">
        <v>2045</v>
      </c>
      <c r="E515" s="327" t="s">
        <v>1249</v>
      </c>
      <c r="F515" s="327" t="s">
        <v>4624</v>
      </c>
      <c r="G515" s="327" t="s">
        <v>1250</v>
      </c>
      <c r="H515" s="325" t="s">
        <v>2829</v>
      </c>
      <c r="I515" s="325" t="s">
        <v>2830</v>
      </c>
      <c r="J515" s="328">
        <v>41</v>
      </c>
      <c r="K515" s="329">
        <v>4112</v>
      </c>
      <c r="L515" s="325" t="s">
        <v>2843</v>
      </c>
      <c r="M515" s="326" t="s">
        <v>2826</v>
      </c>
      <c r="N515" s="326"/>
      <c r="O515" s="330">
        <v>61.42</v>
      </c>
      <c r="P515" s="330">
        <v>1.53</v>
      </c>
      <c r="Q515" s="331">
        <v>4112</v>
      </c>
      <c r="R515" s="330">
        <v>10000000</v>
      </c>
      <c r="S515" s="330">
        <v>100000</v>
      </c>
      <c r="T515" s="326" t="s">
        <v>170</v>
      </c>
      <c r="U515" s="326" t="s">
        <v>2040</v>
      </c>
      <c r="V515" s="332">
        <v>41124</v>
      </c>
      <c r="W515" s="333">
        <v>41121</v>
      </c>
    </row>
    <row r="516" spans="1:23" ht="45" customHeight="1" x14ac:dyDescent="0.4">
      <c r="A516" s="323">
        <v>411320</v>
      </c>
      <c r="B516" s="324" t="s">
        <v>4632</v>
      </c>
      <c r="C516" s="325" t="s">
        <v>1251</v>
      </c>
      <c r="D516" s="326" t="s">
        <v>2045</v>
      </c>
      <c r="E516" s="327" t="s">
        <v>3730</v>
      </c>
      <c r="F516" s="327" t="s">
        <v>4624</v>
      </c>
      <c r="G516" s="327" t="s">
        <v>1252</v>
      </c>
      <c r="H516" s="325" t="s">
        <v>2829</v>
      </c>
      <c r="I516" s="325" t="s">
        <v>2830</v>
      </c>
      <c r="J516" s="328">
        <v>41</v>
      </c>
      <c r="K516" s="329">
        <v>4113</v>
      </c>
      <c r="L516" s="325" t="s">
        <v>2844</v>
      </c>
      <c r="M516" s="326" t="s">
        <v>2826</v>
      </c>
      <c r="N516" s="326"/>
      <c r="O516" s="330">
        <v>690.65</v>
      </c>
      <c r="P516" s="330">
        <v>2.0699999999999998</v>
      </c>
      <c r="Q516" s="331">
        <v>4113</v>
      </c>
      <c r="R516" s="330">
        <v>100000</v>
      </c>
      <c r="S516" s="330">
        <v>10000</v>
      </c>
      <c r="T516" s="326" t="s">
        <v>170</v>
      </c>
      <c r="U516" s="326" t="s">
        <v>2040</v>
      </c>
      <c r="V516" s="332">
        <v>41132</v>
      </c>
      <c r="W516" s="333" t="s">
        <v>2845</v>
      </c>
    </row>
    <row r="517" spans="1:23" ht="45" customHeight="1" x14ac:dyDescent="0.4">
      <c r="A517" s="323">
        <v>412128</v>
      </c>
      <c r="B517" s="324" t="s">
        <v>4633</v>
      </c>
      <c r="C517" s="325" t="s">
        <v>2846</v>
      </c>
      <c r="D517" s="326" t="s">
        <v>2045</v>
      </c>
      <c r="E517" s="327" t="s">
        <v>4634</v>
      </c>
      <c r="F517" s="327"/>
      <c r="G517" s="327" t="s">
        <v>383</v>
      </c>
      <c r="H517" s="325" t="e">
        <v>#N/A</v>
      </c>
      <c r="I517" s="325" t="e">
        <v>#N/A</v>
      </c>
      <c r="J517" s="328">
        <v>41</v>
      </c>
      <c r="K517" s="329">
        <v>4111</v>
      </c>
      <c r="L517" s="325" t="s">
        <v>2825</v>
      </c>
      <c r="M517" s="326" t="s">
        <v>2826</v>
      </c>
      <c r="N517" s="326"/>
      <c r="O517" s="330">
        <v>80.459999999999994</v>
      </c>
      <c r="P517" s="330">
        <v>4.01</v>
      </c>
      <c r="Q517" s="331">
        <v>4111</v>
      </c>
      <c r="R517" s="330">
        <v>100000</v>
      </c>
      <c r="S517" s="330">
        <v>8400</v>
      </c>
      <c r="T517" s="326" t="s">
        <v>170</v>
      </c>
      <c r="U517" s="326" t="s">
        <v>2040</v>
      </c>
      <c r="V517" s="332"/>
      <c r="W517" s="333"/>
    </row>
    <row r="518" spans="1:23" ht="45" customHeight="1" x14ac:dyDescent="0.4">
      <c r="A518" s="323">
        <v>412131</v>
      </c>
      <c r="B518" s="324" t="s">
        <v>4635</v>
      </c>
      <c r="C518" s="325" t="s">
        <v>2847</v>
      </c>
      <c r="D518" s="326" t="s">
        <v>2045</v>
      </c>
      <c r="E518" s="327" t="s">
        <v>4636</v>
      </c>
      <c r="F518" s="327"/>
      <c r="G518" s="327" t="s">
        <v>383</v>
      </c>
      <c r="H518" s="325" t="e">
        <v>#N/A</v>
      </c>
      <c r="I518" s="325" t="e">
        <v>#N/A</v>
      </c>
      <c r="J518" s="328">
        <v>41</v>
      </c>
      <c r="K518" s="329">
        <v>4111</v>
      </c>
      <c r="L518" s="325" t="s">
        <v>2825</v>
      </c>
      <c r="M518" s="326" t="s">
        <v>2826</v>
      </c>
      <c r="N518" s="326"/>
      <c r="O518" s="330">
        <v>80.459999999999994</v>
      </c>
      <c r="P518" s="330">
        <v>4.01</v>
      </c>
      <c r="Q518" s="331">
        <v>4111</v>
      </c>
      <c r="R518" s="330">
        <v>100000</v>
      </c>
      <c r="S518" s="330">
        <v>8400</v>
      </c>
      <c r="T518" s="326" t="s">
        <v>170</v>
      </c>
      <c r="U518" s="326" t="s">
        <v>2040</v>
      </c>
      <c r="V518" s="332"/>
      <c r="W518" s="333"/>
    </row>
    <row r="519" spans="1:23" ht="45" customHeight="1" x14ac:dyDescent="0.4">
      <c r="A519" s="323">
        <v>412132</v>
      </c>
      <c r="B519" s="324" t="s">
        <v>4637</v>
      </c>
      <c r="C519" s="325" t="s">
        <v>2848</v>
      </c>
      <c r="D519" s="326" t="s">
        <v>2045</v>
      </c>
      <c r="E519" s="327" t="s">
        <v>4638</v>
      </c>
      <c r="F519" s="327"/>
      <c r="G519" s="327" t="s">
        <v>383</v>
      </c>
      <c r="H519" s="325" t="e">
        <v>#N/A</v>
      </c>
      <c r="I519" s="325" t="e">
        <v>#N/A</v>
      </c>
      <c r="J519" s="328">
        <v>41</v>
      </c>
      <c r="K519" s="329">
        <v>4121</v>
      </c>
      <c r="L519" s="325" t="s">
        <v>2833</v>
      </c>
      <c r="M519" s="326" t="s">
        <v>2101</v>
      </c>
      <c r="N519" s="326"/>
      <c r="O519" s="330">
        <v>12.3</v>
      </c>
      <c r="P519" s="330">
        <v>0.11</v>
      </c>
      <c r="Q519" s="331">
        <v>4121</v>
      </c>
      <c r="R519" s="330">
        <v>1500000</v>
      </c>
      <c r="S519" s="330">
        <v>29000</v>
      </c>
      <c r="T519" s="326" t="s">
        <v>170</v>
      </c>
      <c r="U519" s="326" t="s">
        <v>2040</v>
      </c>
      <c r="V519" s="332"/>
      <c r="W519" s="333"/>
    </row>
    <row r="520" spans="1:23" ht="45" customHeight="1" x14ac:dyDescent="0.4">
      <c r="A520" s="323">
        <v>412134</v>
      </c>
      <c r="B520" s="324" t="s">
        <v>4639</v>
      </c>
      <c r="C520" s="325" t="s">
        <v>2849</v>
      </c>
      <c r="D520" s="326" t="s">
        <v>2045</v>
      </c>
      <c r="E520" s="327" t="s">
        <v>4640</v>
      </c>
      <c r="F520" s="327"/>
      <c r="G520" s="327" t="s">
        <v>383</v>
      </c>
      <c r="H520" s="325" t="e">
        <v>#N/A</v>
      </c>
      <c r="I520" s="325" t="e">
        <v>#N/A</v>
      </c>
      <c r="J520" s="328">
        <v>41</v>
      </c>
      <c r="K520" s="329">
        <v>4111</v>
      </c>
      <c r="L520" s="325" t="s">
        <v>2825</v>
      </c>
      <c r="M520" s="326" t="s">
        <v>2826</v>
      </c>
      <c r="N520" s="326"/>
      <c r="O520" s="330">
        <v>80.459999999999994</v>
      </c>
      <c r="P520" s="330">
        <v>4.01</v>
      </c>
      <c r="Q520" s="331">
        <v>4111</v>
      </c>
      <c r="R520" s="330">
        <v>100000</v>
      </c>
      <c r="S520" s="330">
        <v>8400</v>
      </c>
      <c r="T520" s="326" t="s">
        <v>170</v>
      </c>
      <c r="U520" s="326" t="s">
        <v>2040</v>
      </c>
      <c r="V520" s="332"/>
      <c r="W520" s="333"/>
    </row>
    <row r="521" spans="1:23" ht="45" customHeight="1" x14ac:dyDescent="0.4">
      <c r="A521" s="323">
        <v>412135</v>
      </c>
      <c r="B521" s="324" t="s">
        <v>4641</v>
      </c>
      <c r="C521" s="325" t="s">
        <v>2850</v>
      </c>
      <c r="D521" s="326" t="s">
        <v>2045</v>
      </c>
      <c r="E521" s="327" t="s">
        <v>4642</v>
      </c>
      <c r="F521" s="327"/>
      <c r="G521" s="327" t="s">
        <v>383</v>
      </c>
      <c r="H521" s="325" t="e">
        <v>#N/A</v>
      </c>
      <c r="I521" s="325" t="e">
        <v>#N/A</v>
      </c>
      <c r="J521" s="328">
        <v>41</v>
      </c>
      <c r="K521" s="329">
        <v>4111</v>
      </c>
      <c r="L521" s="325" t="s">
        <v>2825</v>
      </c>
      <c r="M521" s="326" t="s">
        <v>2826</v>
      </c>
      <c r="N521" s="326"/>
      <c r="O521" s="330">
        <v>80.459999999999994</v>
      </c>
      <c r="P521" s="330">
        <v>4.01</v>
      </c>
      <c r="Q521" s="331">
        <v>4111</v>
      </c>
      <c r="R521" s="330">
        <v>100000</v>
      </c>
      <c r="S521" s="330">
        <v>8400</v>
      </c>
      <c r="T521" s="326" t="s">
        <v>170</v>
      </c>
      <c r="U521" s="326" t="s">
        <v>2040</v>
      </c>
      <c r="V521" s="332"/>
      <c r="W521" s="333"/>
    </row>
    <row r="522" spans="1:23" ht="45" customHeight="1" x14ac:dyDescent="0.4">
      <c r="A522" s="323">
        <v>412137</v>
      </c>
      <c r="B522" s="324" t="s">
        <v>4643</v>
      </c>
      <c r="C522" s="325" t="s">
        <v>2851</v>
      </c>
      <c r="D522" s="326" t="s">
        <v>2045</v>
      </c>
      <c r="E522" s="327" t="s">
        <v>4644</v>
      </c>
      <c r="F522" s="327"/>
      <c r="G522" s="327" t="s">
        <v>383</v>
      </c>
      <c r="H522" s="325" t="e">
        <v>#N/A</v>
      </c>
      <c r="I522" s="325" t="e">
        <v>#N/A</v>
      </c>
      <c r="J522" s="328">
        <v>41</v>
      </c>
      <c r="K522" s="329">
        <v>4111</v>
      </c>
      <c r="L522" s="325" t="s">
        <v>2825</v>
      </c>
      <c r="M522" s="326" t="s">
        <v>2826</v>
      </c>
      <c r="N522" s="326"/>
      <c r="O522" s="330">
        <v>80.459999999999994</v>
      </c>
      <c r="P522" s="330">
        <v>4.01</v>
      </c>
      <c r="Q522" s="331">
        <v>4111</v>
      </c>
      <c r="R522" s="330">
        <v>100000</v>
      </c>
      <c r="S522" s="330">
        <v>8400</v>
      </c>
      <c r="T522" s="326" t="s">
        <v>170</v>
      </c>
      <c r="U522" s="326" t="s">
        <v>2040</v>
      </c>
      <c r="V522" s="332"/>
      <c r="W522" s="333"/>
    </row>
    <row r="523" spans="1:23" ht="45" customHeight="1" x14ac:dyDescent="0.4">
      <c r="A523" s="323">
        <v>412138</v>
      </c>
      <c r="B523" s="324" t="s">
        <v>4645</v>
      </c>
      <c r="C523" s="325" t="s">
        <v>2852</v>
      </c>
      <c r="D523" s="326" t="s">
        <v>2045</v>
      </c>
      <c r="E523" s="327" t="s">
        <v>4646</v>
      </c>
      <c r="F523" s="327"/>
      <c r="G523" s="327" t="s">
        <v>383</v>
      </c>
      <c r="H523" s="325" t="e">
        <v>#N/A</v>
      </c>
      <c r="I523" s="325" t="e">
        <v>#N/A</v>
      </c>
      <c r="J523" s="328">
        <v>41</v>
      </c>
      <c r="K523" s="329">
        <v>4121</v>
      </c>
      <c r="L523" s="325" t="s">
        <v>2833</v>
      </c>
      <c r="M523" s="326" t="s">
        <v>2101</v>
      </c>
      <c r="N523" s="326"/>
      <c r="O523" s="330">
        <v>12.3</v>
      </c>
      <c r="P523" s="330">
        <v>0.11</v>
      </c>
      <c r="Q523" s="331">
        <v>4121</v>
      </c>
      <c r="R523" s="330">
        <v>1500000</v>
      </c>
      <c r="S523" s="330">
        <v>29000</v>
      </c>
      <c r="T523" s="326" t="s">
        <v>170</v>
      </c>
      <c r="U523" s="326" t="s">
        <v>2040</v>
      </c>
      <c r="V523" s="332"/>
      <c r="W523" s="333"/>
    </row>
    <row r="524" spans="1:23" ht="45" customHeight="1" x14ac:dyDescent="0.4">
      <c r="A524" s="323">
        <v>412139</v>
      </c>
      <c r="B524" s="324" t="s">
        <v>4647</v>
      </c>
      <c r="C524" s="325" t="s">
        <v>2853</v>
      </c>
      <c r="D524" s="326" t="s">
        <v>2045</v>
      </c>
      <c r="E524" s="327" t="s">
        <v>4648</v>
      </c>
      <c r="F524" s="327"/>
      <c r="G524" s="327" t="s">
        <v>383</v>
      </c>
      <c r="H524" s="325" t="e">
        <v>#N/A</v>
      </c>
      <c r="I524" s="325" t="e">
        <v>#N/A</v>
      </c>
      <c r="J524" s="328">
        <v>41</v>
      </c>
      <c r="K524" s="329">
        <v>4111</v>
      </c>
      <c r="L524" s="325" t="s">
        <v>2825</v>
      </c>
      <c r="M524" s="326" t="s">
        <v>2826</v>
      </c>
      <c r="N524" s="326"/>
      <c r="O524" s="330">
        <v>80.459999999999994</v>
      </c>
      <c r="P524" s="330">
        <v>4.01</v>
      </c>
      <c r="Q524" s="331">
        <v>4111</v>
      </c>
      <c r="R524" s="330">
        <v>100000</v>
      </c>
      <c r="S524" s="330">
        <v>8400</v>
      </c>
      <c r="T524" s="326" t="s">
        <v>170</v>
      </c>
      <c r="U524" s="326" t="s">
        <v>2040</v>
      </c>
      <c r="V524" s="332"/>
      <c r="W524" s="333"/>
    </row>
    <row r="525" spans="1:23" ht="45" customHeight="1" x14ac:dyDescent="0.4">
      <c r="A525" s="323">
        <v>412240</v>
      </c>
      <c r="B525" s="324" t="s">
        <v>4649</v>
      </c>
      <c r="C525" s="325" t="s">
        <v>2854</v>
      </c>
      <c r="D525" s="326" t="s">
        <v>2045</v>
      </c>
      <c r="E525" s="327" t="s">
        <v>4650</v>
      </c>
      <c r="F525" s="327"/>
      <c r="G525" s="327" t="s">
        <v>383</v>
      </c>
      <c r="H525" s="325" t="e">
        <v>#N/A</v>
      </c>
      <c r="I525" s="325" t="e">
        <v>#N/A</v>
      </c>
      <c r="J525" s="328">
        <v>41</v>
      </c>
      <c r="K525" s="329">
        <v>4112</v>
      </c>
      <c r="L525" s="325" t="s">
        <v>2843</v>
      </c>
      <c r="M525" s="326" t="s">
        <v>2826</v>
      </c>
      <c r="N525" s="326"/>
      <c r="O525" s="330">
        <v>61.42</v>
      </c>
      <c r="P525" s="330">
        <v>1.53</v>
      </c>
      <c r="Q525" s="331">
        <v>4112</v>
      </c>
      <c r="R525" s="330">
        <v>10000000</v>
      </c>
      <c r="S525" s="330">
        <v>100000</v>
      </c>
      <c r="T525" s="326" t="s">
        <v>170</v>
      </c>
      <c r="U525" s="326" t="s">
        <v>2040</v>
      </c>
      <c r="V525" s="332"/>
      <c r="W525" s="333"/>
    </row>
    <row r="526" spans="1:23" ht="45" customHeight="1" x14ac:dyDescent="0.4">
      <c r="A526" s="335">
        <v>412241</v>
      </c>
      <c r="B526" s="324" t="s">
        <v>4651</v>
      </c>
      <c r="C526" s="325" t="s">
        <v>3854</v>
      </c>
      <c r="D526" s="326" t="s">
        <v>2045</v>
      </c>
      <c r="E526" s="327" t="s">
        <v>4652</v>
      </c>
      <c r="F526" s="327"/>
      <c r="G526" s="327" t="s">
        <v>383</v>
      </c>
      <c r="H526" s="325" t="e">
        <v>#N/A</v>
      </c>
      <c r="I526" s="325" t="e">
        <v>#N/A</v>
      </c>
      <c r="J526" s="326">
        <v>41</v>
      </c>
      <c r="K526" s="329">
        <v>4111</v>
      </c>
      <c r="L526" s="325" t="s">
        <v>2825</v>
      </c>
      <c r="M526" s="326" t="s">
        <v>2826</v>
      </c>
      <c r="N526" s="326"/>
      <c r="O526" s="330">
        <v>80.459999999999994</v>
      </c>
      <c r="P526" s="330">
        <v>4.01</v>
      </c>
      <c r="Q526" s="331">
        <v>4111</v>
      </c>
      <c r="R526" s="330">
        <v>100000</v>
      </c>
      <c r="S526" s="330">
        <v>8400</v>
      </c>
      <c r="T526" s="326" t="s">
        <v>170</v>
      </c>
      <c r="U526" s="326" t="s">
        <v>2040</v>
      </c>
      <c r="V526" s="332"/>
      <c r="W526" s="333"/>
    </row>
    <row r="527" spans="1:23" ht="45" customHeight="1" x14ac:dyDescent="0.4">
      <c r="A527" s="323">
        <v>412350</v>
      </c>
      <c r="B527" s="324" t="s">
        <v>4653</v>
      </c>
      <c r="C527" s="325" t="s">
        <v>2855</v>
      </c>
      <c r="D527" s="326" t="s">
        <v>2045</v>
      </c>
      <c r="E527" s="327" t="s">
        <v>4654</v>
      </c>
      <c r="F527" s="327"/>
      <c r="G527" s="327" t="s">
        <v>383</v>
      </c>
      <c r="H527" s="325" t="e">
        <v>#N/A</v>
      </c>
      <c r="I527" s="325" t="e">
        <v>#N/A</v>
      </c>
      <c r="J527" s="328">
        <v>41</v>
      </c>
      <c r="K527" s="329">
        <v>4121</v>
      </c>
      <c r="L527" s="325" t="s">
        <v>2833</v>
      </c>
      <c r="M527" s="326" t="s">
        <v>2101</v>
      </c>
      <c r="N527" s="326"/>
      <c r="O527" s="330">
        <v>12.3</v>
      </c>
      <c r="P527" s="330">
        <v>0.11</v>
      </c>
      <c r="Q527" s="331">
        <v>4121</v>
      </c>
      <c r="R527" s="330">
        <v>1500000</v>
      </c>
      <c r="S527" s="330">
        <v>29000</v>
      </c>
      <c r="T527" s="326" t="s">
        <v>170</v>
      </c>
      <c r="U527" s="326" t="s">
        <v>2040</v>
      </c>
      <c r="V527" s="332"/>
      <c r="W527" s="333">
        <v>41235</v>
      </c>
    </row>
    <row r="528" spans="1:23" ht="45" customHeight="1" x14ac:dyDescent="0.4">
      <c r="A528" s="323">
        <v>421220</v>
      </c>
      <c r="B528" s="324" t="s">
        <v>4655</v>
      </c>
      <c r="C528" s="325" t="s">
        <v>3855</v>
      </c>
      <c r="D528" s="326" t="s">
        <v>2084</v>
      </c>
      <c r="E528" s="327" t="s">
        <v>4656</v>
      </c>
      <c r="F528" s="327"/>
      <c r="G528" s="327" t="s">
        <v>383</v>
      </c>
      <c r="H528" s="325"/>
      <c r="I528" s="325"/>
      <c r="J528" s="326">
        <v>42</v>
      </c>
      <c r="K528" s="329">
        <v>4211</v>
      </c>
      <c r="L528" s="325" t="s">
        <v>2856</v>
      </c>
      <c r="M528" s="326" t="s">
        <v>226</v>
      </c>
      <c r="N528" s="326"/>
      <c r="O528" s="330">
        <v>837</v>
      </c>
      <c r="P528" s="330">
        <v>3.2</v>
      </c>
      <c r="Q528" s="331">
        <v>4211</v>
      </c>
      <c r="R528" s="330">
        <v>40000</v>
      </c>
      <c r="S528" s="330">
        <v>3600</v>
      </c>
      <c r="T528" s="326" t="s">
        <v>170</v>
      </c>
      <c r="U528" s="326" t="s">
        <v>2040</v>
      </c>
      <c r="V528" s="332"/>
      <c r="W528" s="333"/>
    </row>
    <row r="529" spans="1:23" ht="45" customHeight="1" x14ac:dyDescent="0.4">
      <c r="A529" s="335">
        <v>421370</v>
      </c>
      <c r="B529" s="324" t="s">
        <v>4657</v>
      </c>
      <c r="C529" s="325" t="s">
        <v>4658</v>
      </c>
      <c r="D529" s="326" t="s">
        <v>2045</v>
      </c>
      <c r="E529" s="327" t="s">
        <v>3731</v>
      </c>
      <c r="F529" s="327"/>
      <c r="G529" s="327" t="s">
        <v>383</v>
      </c>
      <c r="H529" s="325" t="e">
        <v>#N/A</v>
      </c>
      <c r="I529" s="325" t="e">
        <v>#N/A</v>
      </c>
      <c r="J529" s="326">
        <v>42</v>
      </c>
      <c r="K529" s="329">
        <v>4222</v>
      </c>
      <c r="L529" s="325" t="s">
        <v>3856</v>
      </c>
      <c r="M529" s="326" t="s">
        <v>226</v>
      </c>
      <c r="N529" s="326"/>
      <c r="O529" s="330">
        <v>223.3</v>
      </c>
      <c r="P529" s="330">
        <v>0</v>
      </c>
      <c r="Q529" s="331">
        <v>4222</v>
      </c>
      <c r="R529" s="330">
        <v>0</v>
      </c>
      <c r="S529" s="330">
        <v>0</v>
      </c>
      <c r="T529" s="326" t="s">
        <v>170</v>
      </c>
      <c r="U529" s="326" t="s">
        <v>2040</v>
      </c>
      <c r="V529" s="332"/>
      <c r="W529" s="333"/>
    </row>
    <row r="530" spans="1:23" ht="45" customHeight="1" x14ac:dyDescent="0.4">
      <c r="A530" s="323">
        <v>421480</v>
      </c>
      <c r="B530" s="324" t="s">
        <v>4659</v>
      </c>
      <c r="C530" s="325" t="s">
        <v>2857</v>
      </c>
      <c r="D530" s="326" t="s">
        <v>2084</v>
      </c>
      <c r="E530" s="327" t="s">
        <v>4660</v>
      </c>
      <c r="F530" s="327"/>
      <c r="G530" s="327" t="s">
        <v>383</v>
      </c>
      <c r="H530" s="325" t="e">
        <v>#N/A</v>
      </c>
      <c r="I530" s="325" t="e">
        <v>#N/A</v>
      </c>
      <c r="J530" s="328">
        <v>42</v>
      </c>
      <c r="K530" s="329">
        <v>4211</v>
      </c>
      <c r="L530" s="325" t="s">
        <v>2856</v>
      </c>
      <c r="M530" s="326" t="s">
        <v>226</v>
      </c>
      <c r="N530" s="326"/>
      <c r="O530" s="330">
        <v>837</v>
      </c>
      <c r="P530" s="330">
        <v>3.2</v>
      </c>
      <c r="Q530" s="331">
        <v>4211</v>
      </c>
      <c r="R530" s="330">
        <v>40000</v>
      </c>
      <c r="S530" s="330">
        <v>3600</v>
      </c>
      <c r="T530" s="326" t="s">
        <v>170</v>
      </c>
      <c r="U530" s="326" t="s">
        <v>2040</v>
      </c>
      <c r="V530" s="332"/>
      <c r="W530" s="333">
        <v>42148</v>
      </c>
    </row>
    <row r="531" spans="1:23" ht="45" customHeight="1" x14ac:dyDescent="0.4">
      <c r="A531" s="323">
        <v>421820</v>
      </c>
      <c r="B531" s="324" t="s">
        <v>4661</v>
      </c>
      <c r="C531" s="325" t="s">
        <v>2858</v>
      </c>
      <c r="D531" s="326" t="s">
        <v>2084</v>
      </c>
      <c r="E531" s="327" t="s">
        <v>4662</v>
      </c>
      <c r="F531" s="327"/>
      <c r="G531" s="327" t="s">
        <v>383</v>
      </c>
      <c r="H531" s="325" t="e">
        <v>#N/A</v>
      </c>
      <c r="I531" s="325" t="e">
        <v>#N/A</v>
      </c>
      <c r="J531" s="328">
        <v>42</v>
      </c>
      <c r="K531" s="329">
        <v>4211</v>
      </c>
      <c r="L531" s="325" t="s">
        <v>2856</v>
      </c>
      <c r="M531" s="326" t="s">
        <v>226</v>
      </c>
      <c r="N531" s="326"/>
      <c r="O531" s="330">
        <v>837</v>
      </c>
      <c r="P531" s="330">
        <v>3.2</v>
      </c>
      <c r="Q531" s="331">
        <v>4211</v>
      </c>
      <c r="R531" s="330">
        <v>40000</v>
      </c>
      <c r="S531" s="330">
        <v>3600</v>
      </c>
      <c r="T531" s="326" t="s">
        <v>170</v>
      </c>
      <c r="U531" s="326" t="s">
        <v>2040</v>
      </c>
      <c r="V531" s="332"/>
      <c r="W531" s="333">
        <v>42182</v>
      </c>
    </row>
    <row r="532" spans="1:23" ht="45" customHeight="1" x14ac:dyDescent="0.4">
      <c r="A532" s="323">
        <v>422253</v>
      </c>
      <c r="B532" s="324" t="s">
        <v>4663</v>
      </c>
      <c r="C532" s="325" t="s">
        <v>2859</v>
      </c>
      <c r="D532" s="326" t="s">
        <v>2084</v>
      </c>
      <c r="E532" s="327" t="s">
        <v>1253</v>
      </c>
      <c r="F532" s="327"/>
      <c r="G532" s="327" t="s">
        <v>1254</v>
      </c>
      <c r="H532" s="325" t="s">
        <v>2078</v>
      </c>
      <c r="I532" s="325" t="s">
        <v>2324</v>
      </c>
      <c r="J532" s="328">
        <v>42</v>
      </c>
      <c r="K532" s="329">
        <v>4221</v>
      </c>
      <c r="L532" s="325" t="s">
        <v>2860</v>
      </c>
      <c r="M532" s="326" t="s">
        <v>226</v>
      </c>
      <c r="N532" s="326"/>
      <c r="O532" s="330">
        <v>1028</v>
      </c>
      <c r="P532" s="330">
        <v>3.25</v>
      </c>
      <c r="Q532" s="331">
        <v>4221</v>
      </c>
      <c r="R532" s="330">
        <v>36000</v>
      </c>
      <c r="S532" s="330">
        <v>1900</v>
      </c>
      <c r="T532" s="326" t="s">
        <v>170</v>
      </c>
      <c r="U532" s="326" t="s">
        <v>2040</v>
      </c>
      <c r="V532" s="332" t="s">
        <v>2861</v>
      </c>
      <c r="W532" s="333">
        <v>42135</v>
      </c>
    </row>
    <row r="533" spans="1:23" ht="45" customHeight="1" x14ac:dyDescent="0.4">
      <c r="A533" s="323">
        <v>422256</v>
      </c>
      <c r="B533" s="324" t="s">
        <v>4664</v>
      </c>
      <c r="C533" s="325" t="s">
        <v>2862</v>
      </c>
      <c r="D533" s="326" t="s">
        <v>2084</v>
      </c>
      <c r="E533" s="327" t="s">
        <v>1255</v>
      </c>
      <c r="F533" s="327"/>
      <c r="G533" s="327" t="s">
        <v>1256</v>
      </c>
      <c r="H533" s="325" t="s">
        <v>2078</v>
      </c>
      <c r="I533" s="325" t="s">
        <v>2324</v>
      </c>
      <c r="J533" s="328">
        <v>42</v>
      </c>
      <c r="K533" s="329">
        <v>4221</v>
      </c>
      <c r="L533" s="325" t="s">
        <v>2860</v>
      </c>
      <c r="M533" s="326" t="s">
        <v>226</v>
      </c>
      <c r="N533" s="326"/>
      <c r="O533" s="330">
        <v>1028</v>
      </c>
      <c r="P533" s="330">
        <v>3.25</v>
      </c>
      <c r="Q533" s="331">
        <v>4221</v>
      </c>
      <c r="R533" s="330">
        <v>36000</v>
      </c>
      <c r="S533" s="330">
        <v>1900</v>
      </c>
      <c r="T533" s="326" t="s">
        <v>170</v>
      </c>
      <c r="U533" s="326" t="s">
        <v>2040</v>
      </c>
      <c r="V533" s="332">
        <v>42260</v>
      </c>
      <c r="W533" s="333">
        <v>42135</v>
      </c>
    </row>
    <row r="534" spans="1:23" ht="45" customHeight="1" x14ac:dyDescent="0.4">
      <c r="A534" s="323">
        <v>422257</v>
      </c>
      <c r="B534" s="324" t="s">
        <v>4665</v>
      </c>
      <c r="C534" s="325" t="s">
        <v>2863</v>
      </c>
      <c r="D534" s="326" t="s">
        <v>2084</v>
      </c>
      <c r="E534" s="327" t="s">
        <v>1257</v>
      </c>
      <c r="F534" s="327"/>
      <c r="G534" s="327" t="s">
        <v>1258</v>
      </c>
      <c r="H534" s="325" t="s">
        <v>2078</v>
      </c>
      <c r="I534" s="325" t="s">
        <v>2324</v>
      </c>
      <c r="J534" s="328">
        <v>42</v>
      </c>
      <c r="K534" s="329">
        <v>4221</v>
      </c>
      <c r="L534" s="325" t="s">
        <v>2860</v>
      </c>
      <c r="M534" s="326" t="s">
        <v>226</v>
      </c>
      <c r="N534" s="326"/>
      <c r="O534" s="330">
        <v>1028</v>
      </c>
      <c r="P534" s="330">
        <v>3.25</v>
      </c>
      <c r="Q534" s="331">
        <v>4221</v>
      </c>
      <c r="R534" s="330">
        <v>36000</v>
      </c>
      <c r="S534" s="330">
        <v>1900</v>
      </c>
      <c r="T534" s="326" t="s">
        <v>170</v>
      </c>
      <c r="U534" s="326" t="s">
        <v>2040</v>
      </c>
      <c r="V534" s="332" t="s">
        <v>2864</v>
      </c>
      <c r="W534" s="333">
        <v>42135</v>
      </c>
    </row>
    <row r="535" spans="1:23" ht="45" customHeight="1" x14ac:dyDescent="0.4">
      <c r="A535" s="323">
        <v>422258</v>
      </c>
      <c r="B535" s="324" t="s">
        <v>4666</v>
      </c>
      <c r="C535" s="325" t="s">
        <v>2865</v>
      </c>
      <c r="D535" s="326" t="s">
        <v>2084</v>
      </c>
      <c r="E535" s="327" t="s">
        <v>1259</v>
      </c>
      <c r="F535" s="327"/>
      <c r="G535" s="327" t="s">
        <v>1260</v>
      </c>
      <c r="H535" s="325" t="s">
        <v>2078</v>
      </c>
      <c r="I535" s="325" t="s">
        <v>2324</v>
      </c>
      <c r="J535" s="328">
        <v>42</v>
      </c>
      <c r="K535" s="329">
        <v>4221</v>
      </c>
      <c r="L535" s="325" t="s">
        <v>2860</v>
      </c>
      <c r="M535" s="326" t="s">
        <v>226</v>
      </c>
      <c r="N535" s="326"/>
      <c r="O535" s="330">
        <v>1028</v>
      </c>
      <c r="P535" s="330">
        <v>3.25</v>
      </c>
      <c r="Q535" s="331">
        <v>4221</v>
      </c>
      <c r="R535" s="330">
        <v>36000</v>
      </c>
      <c r="S535" s="330">
        <v>1900</v>
      </c>
      <c r="T535" s="326" t="s">
        <v>170</v>
      </c>
      <c r="U535" s="326" t="s">
        <v>2040</v>
      </c>
      <c r="V535" s="332" t="s">
        <v>2866</v>
      </c>
      <c r="W535" s="333">
        <v>42135</v>
      </c>
    </row>
    <row r="536" spans="1:23" ht="45" customHeight="1" x14ac:dyDescent="0.4">
      <c r="A536" s="323">
        <v>422259</v>
      </c>
      <c r="B536" s="324" t="s">
        <v>4667</v>
      </c>
      <c r="C536" s="325" t="s">
        <v>2867</v>
      </c>
      <c r="D536" s="326" t="s">
        <v>2084</v>
      </c>
      <c r="E536" s="327" t="s">
        <v>1261</v>
      </c>
      <c r="F536" s="327"/>
      <c r="G536" s="327" t="s">
        <v>1262</v>
      </c>
      <c r="H536" s="325" t="s">
        <v>2078</v>
      </c>
      <c r="I536" s="325" t="s">
        <v>2324</v>
      </c>
      <c r="J536" s="328">
        <v>42</v>
      </c>
      <c r="K536" s="329">
        <v>4221</v>
      </c>
      <c r="L536" s="325" t="s">
        <v>2860</v>
      </c>
      <c r="M536" s="326" t="s">
        <v>226</v>
      </c>
      <c r="N536" s="326"/>
      <c r="O536" s="330">
        <v>1028</v>
      </c>
      <c r="P536" s="330">
        <v>3.25</v>
      </c>
      <c r="Q536" s="331">
        <v>4221</v>
      </c>
      <c r="R536" s="330">
        <v>36000</v>
      </c>
      <c r="S536" s="330">
        <v>1900</v>
      </c>
      <c r="T536" s="326" t="s">
        <v>170</v>
      </c>
      <c r="U536" s="326" t="s">
        <v>2040</v>
      </c>
      <c r="V536" s="332">
        <v>42260</v>
      </c>
      <c r="W536" s="333">
        <v>42135</v>
      </c>
    </row>
    <row r="537" spans="1:23" ht="45" customHeight="1" x14ac:dyDescent="0.4">
      <c r="A537" s="323">
        <v>422264</v>
      </c>
      <c r="B537" s="324" t="s">
        <v>4668</v>
      </c>
      <c r="C537" s="325" t="s">
        <v>2868</v>
      </c>
      <c r="D537" s="326" t="s">
        <v>2084</v>
      </c>
      <c r="E537" s="327" t="s">
        <v>1263</v>
      </c>
      <c r="F537" s="327"/>
      <c r="G537" s="327" t="s">
        <v>1264</v>
      </c>
      <c r="H537" s="325" t="s">
        <v>2078</v>
      </c>
      <c r="I537" s="325" t="s">
        <v>2324</v>
      </c>
      <c r="J537" s="328">
        <v>42</v>
      </c>
      <c r="K537" s="329">
        <v>4221</v>
      </c>
      <c r="L537" s="325" t="s">
        <v>2860</v>
      </c>
      <c r="M537" s="326" t="s">
        <v>226</v>
      </c>
      <c r="N537" s="326"/>
      <c r="O537" s="330">
        <v>1028</v>
      </c>
      <c r="P537" s="330">
        <v>3.25</v>
      </c>
      <c r="Q537" s="331">
        <v>4221</v>
      </c>
      <c r="R537" s="330">
        <v>36000</v>
      </c>
      <c r="S537" s="330">
        <v>1900</v>
      </c>
      <c r="T537" s="326" t="s">
        <v>170</v>
      </c>
      <c r="U537" s="326" t="s">
        <v>2040</v>
      </c>
      <c r="V537" s="332">
        <v>42280</v>
      </c>
      <c r="W537" s="333">
        <v>42135</v>
      </c>
    </row>
    <row r="538" spans="1:23" ht="45" customHeight="1" x14ac:dyDescent="0.4">
      <c r="A538" s="323">
        <v>422265</v>
      </c>
      <c r="B538" s="324" t="s">
        <v>4669</v>
      </c>
      <c r="C538" s="325" t="s">
        <v>2869</v>
      </c>
      <c r="D538" s="326" t="s">
        <v>2084</v>
      </c>
      <c r="E538" s="327" t="s">
        <v>1265</v>
      </c>
      <c r="F538" s="327"/>
      <c r="G538" s="327" t="s">
        <v>1266</v>
      </c>
      <c r="H538" s="325" t="s">
        <v>2078</v>
      </c>
      <c r="I538" s="325" t="s">
        <v>2324</v>
      </c>
      <c r="J538" s="328">
        <v>44</v>
      </c>
      <c r="K538" s="329">
        <v>4421</v>
      </c>
      <c r="L538" s="325" t="s">
        <v>2704</v>
      </c>
      <c r="M538" s="326" t="s">
        <v>226</v>
      </c>
      <c r="N538" s="326" t="s">
        <v>2602</v>
      </c>
      <c r="O538" s="330">
        <v>330</v>
      </c>
      <c r="P538" s="330">
        <v>2.79</v>
      </c>
      <c r="Q538" s="331">
        <v>4421</v>
      </c>
      <c r="R538" s="330">
        <v>1500000</v>
      </c>
      <c r="S538" s="330">
        <v>18000</v>
      </c>
      <c r="T538" s="326" t="s">
        <v>170</v>
      </c>
      <c r="U538" s="326" t="s">
        <v>2040</v>
      </c>
      <c r="V538" s="332">
        <v>44288</v>
      </c>
      <c r="W538" s="333">
        <v>44110</v>
      </c>
    </row>
    <row r="539" spans="1:23" ht="45" customHeight="1" x14ac:dyDescent="0.4">
      <c r="A539" s="323">
        <v>422271</v>
      </c>
      <c r="B539" s="324" t="s">
        <v>4670</v>
      </c>
      <c r="C539" s="325" t="s">
        <v>2870</v>
      </c>
      <c r="D539" s="326" t="s">
        <v>2084</v>
      </c>
      <c r="E539" s="327" t="s">
        <v>1267</v>
      </c>
      <c r="F539" s="327"/>
      <c r="G539" s="327" t="s">
        <v>1268</v>
      </c>
      <c r="H539" s="325" t="s">
        <v>2078</v>
      </c>
      <c r="I539" s="325" t="s">
        <v>2324</v>
      </c>
      <c r="J539" s="328">
        <v>42</v>
      </c>
      <c r="K539" s="329">
        <v>4221</v>
      </c>
      <c r="L539" s="325" t="s">
        <v>2860</v>
      </c>
      <c r="M539" s="326" t="s">
        <v>226</v>
      </c>
      <c r="N539" s="326"/>
      <c r="O539" s="330">
        <v>1028</v>
      </c>
      <c r="P539" s="330">
        <v>3.25</v>
      </c>
      <c r="Q539" s="331">
        <v>4221</v>
      </c>
      <c r="R539" s="330">
        <v>36000</v>
      </c>
      <c r="S539" s="330">
        <v>1900</v>
      </c>
      <c r="T539" s="326" t="s">
        <v>170</v>
      </c>
      <c r="U539" s="326" t="s">
        <v>2040</v>
      </c>
      <c r="V539" s="332">
        <v>42280</v>
      </c>
      <c r="W539" s="333">
        <v>42135</v>
      </c>
    </row>
    <row r="540" spans="1:23" ht="45" customHeight="1" x14ac:dyDescent="0.4">
      <c r="A540" s="323">
        <v>422273</v>
      </c>
      <c r="B540" s="324" t="s">
        <v>4671</v>
      </c>
      <c r="C540" s="325" t="s">
        <v>2871</v>
      </c>
      <c r="D540" s="326" t="s">
        <v>2084</v>
      </c>
      <c r="E540" s="327" t="s">
        <v>1269</v>
      </c>
      <c r="F540" s="327"/>
      <c r="G540" s="327" t="s">
        <v>1270</v>
      </c>
      <c r="H540" s="325" t="s">
        <v>2078</v>
      </c>
      <c r="I540" s="325" t="s">
        <v>2324</v>
      </c>
      <c r="J540" s="328">
        <v>42</v>
      </c>
      <c r="K540" s="329">
        <v>4221</v>
      </c>
      <c r="L540" s="325" t="s">
        <v>2860</v>
      </c>
      <c r="M540" s="326" t="s">
        <v>226</v>
      </c>
      <c r="N540" s="326"/>
      <c r="O540" s="330">
        <v>1028</v>
      </c>
      <c r="P540" s="330">
        <v>3.25</v>
      </c>
      <c r="Q540" s="331">
        <v>4221</v>
      </c>
      <c r="R540" s="330">
        <v>36000</v>
      </c>
      <c r="S540" s="330">
        <v>1900</v>
      </c>
      <c r="T540" s="326" t="s">
        <v>170</v>
      </c>
      <c r="U540" s="326" t="s">
        <v>2040</v>
      </c>
      <c r="V540" s="332">
        <v>42280</v>
      </c>
      <c r="W540" s="333">
        <v>42135</v>
      </c>
    </row>
    <row r="541" spans="1:23" ht="45" customHeight="1" x14ac:dyDescent="0.4">
      <c r="A541" s="323">
        <v>422275</v>
      </c>
      <c r="B541" s="324" t="s">
        <v>4672</v>
      </c>
      <c r="C541" s="325" t="s">
        <v>2323</v>
      </c>
      <c r="D541" s="326" t="s">
        <v>2045</v>
      </c>
      <c r="E541" s="327" t="s">
        <v>701</v>
      </c>
      <c r="F541" s="327"/>
      <c r="G541" s="327" t="s">
        <v>1271</v>
      </c>
      <c r="H541" s="325" t="s">
        <v>2078</v>
      </c>
      <c r="I541" s="325" t="s">
        <v>2324</v>
      </c>
      <c r="J541" s="328">
        <v>14</v>
      </c>
      <c r="K541" s="329">
        <v>1494</v>
      </c>
      <c r="L541" s="325" t="s">
        <v>2325</v>
      </c>
      <c r="M541" s="326" t="s">
        <v>2076</v>
      </c>
      <c r="N541" s="326"/>
      <c r="O541" s="330">
        <v>84220.57</v>
      </c>
      <c r="P541" s="330">
        <v>154.08000000000001</v>
      </c>
      <c r="Q541" s="331">
        <v>1494</v>
      </c>
      <c r="R541" s="330">
        <v>10</v>
      </c>
      <c r="S541" s="330">
        <v>1</v>
      </c>
      <c r="T541" s="326" t="s">
        <v>170</v>
      </c>
      <c r="U541" s="326" t="s">
        <v>2040</v>
      </c>
      <c r="V541" s="332"/>
      <c r="W541" s="333"/>
    </row>
    <row r="542" spans="1:23" ht="45" customHeight="1" x14ac:dyDescent="0.4">
      <c r="A542" s="323">
        <v>425199</v>
      </c>
      <c r="B542" s="324" t="s">
        <v>4673</v>
      </c>
      <c r="C542" s="325" t="s">
        <v>2872</v>
      </c>
      <c r="D542" s="326" t="s">
        <v>2034</v>
      </c>
      <c r="E542" s="327" t="s">
        <v>1272</v>
      </c>
      <c r="F542" s="327"/>
      <c r="G542" s="327" t="s">
        <v>1273</v>
      </c>
      <c r="H542" s="325" t="s">
        <v>2078</v>
      </c>
      <c r="I542" s="325" t="s">
        <v>2324</v>
      </c>
      <c r="J542" s="328">
        <v>42</v>
      </c>
      <c r="K542" s="329">
        <v>8526</v>
      </c>
      <c r="L542" s="325" t="s">
        <v>2161</v>
      </c>
      <c r="M542" s="326" t="s">
        <v>2038</v>
      </c>
      <c r="N542" s="326"/>
      <c r="O542" s="330">
        <v>76.33</v>
      </c>
      <c r="P542" s="330">
        <v>1.8</v>
      </c>
      <c r="Q542" s="331">
        <v>8526</v>
      </c>
      <c r="R542" s="330">
        <v>160000</v>
      </c>
      <c r="S542" s="330">
        <v>530</v>
      </c>
      <c r="T542" s="326" t="s">
        <v>170</v>
      </c>
      <c r="U542" s="326" t="s">
        <v>2040</v>
      </c>
      <c r="V542" s="332">
        <v>42510</v>
      </c>
      <c r="W542" s="333">
        <v>42510</v>
      </c>
    </row>
    <row r="543" spans="1:23" ht="76.5" customHeight="1" x14ac:dyDescent="0.4">
      <c r="A543" s="323">
        <v>432283</v>
      </c>
      <c r="B543" s="324" t="s">
        <v>4674</v>
      </c>
      <c r="C543" s="325" t="s">
        <v>2873</v>
      </c>
      <c r="D543" s="326" t="s">
        <v>2084</v>
      </c>
      <c r="E543" s="327" t="s">
        <v>1274</v>
      </c>
      <c r="F543" s="327" t="s">
        <v>4675</v>
      </c>
      <c r="G543" s="327" t="s">
        <v>1275</v>
      </c>
      <c r="H543" s="325" t="s">
        <v>2874</v>
      </c>
      <c r="I543" s="325" t="s">
        <v>2035</v>
      </c>
      <c r="J543" s="328">
        <v>43</v>
      </c>
      <c r="K543" s="329">
        <v>4321</v>
      </c>
      <c r="L543" s="325" t="s">
        <v>2875</v>
      </c>
      <c r="M543" s="326" t="s">
        <v>226</v>
      </c>
      <c r="N543" s="326"/>
      <c r="O543" s="330">
        <v>655.51</v>
      </c>
      <c r="P543" s="330">
        <v>4.5599999999999996</v>
      </c>
      <c r="Q543" s="331">
        <v>4321</v>
      </c>
      <c r="R543" s="330">
        <v>190000</v>
      </c>
      <c r="S543" s="330">
        <v>15000</v>
      </c>
      <c r="T543" s="326" t="s">
        <v>170</v>
      </c>
      <c r="U543" s="326" t="s">
        <v>2040</v>
      </c>
      <c r="V543" s="332">
        <v>43211</v>
      </c>
      <c r="W543" s="333">
        <v>74024</v>
      </c>
    </row>
    <row r="544" spans="1:23" ht="45" customHeight="1" x14ac:dyDescent="0.4">
      <c r="A544" s="323">
        <v>441100</v>
      </c>
      <c r="B544" s="324" t="s">
        <v>4676</v>
      </c>
      <c r="C544" s="325" t="s">
        <v>2876</v>
      </c>
      <c r="D544" s="326" t="s">
        <v>2084</v>
      </c>
      <c r="E544" s="327" t="s">
        <v>4677</v>
      </c>
      <c r="F544" s="327"/>
      <c r="G544" s="327" t="s">
        <v>383</v>
      </c>
      <c r="H544" s="325" t="e">
        <v>#N/A</v>
      </c>
      <c r="I544" s="325" t="e">
        <v>#N/A</v>
      </c>
      <c r="J544" s="328">
        <v>44</v>
      </c>
      <c r="K544" s="329">
        <v>4421</v>
      </c>
      <c r="L544" s="325" t="s">
        <v>2704</v>
      </c>
      <c r="M544" s="326" t="s">
        <v>226</v>
      </c>
      <c r="N544" s="326"/>
      <c r="O544" s="330">
        <v>330</v>
      </c>
      <c r="P544" s="330">
        <v>2.79</v>
      </c>
      <c r="Q544" s="331">
        <v>4421</v>
      </c>
      <c r="R544" s="330">
        <v>1500000</v>
      </c>
      <c r="S544" s="330">
        <v>18000</v>
      </c>
      <c r="T544" s="326" t="s">
        <v>170</v>
      </c>
      <c r="U544" s="326" t="s">
        <v>2040</v>
      </c>
      <c r="V544" s="332"/>
      <c r="W544" s="333">
        <v>44110</v>
      </c>
    </row>
    <row r="545" spans="1:23" ht="45" customHeight="1" x14ac:dyDescent="0.4">
      <c r="A545" s="323">
        <v>441257</v>
      </c>
      <c r="B545" s="324" t="s">
        <v>4678</v>
      </c>
      <c r="C545" s="325" t="s">
        <v>2877</v>
      </c>
      <c r="D545" s="326" t="s">
        <v>2084</v>
      </c>
      <c r="E545" s="327" t="s">
        <v>1276</v>
      </c>
      <c r="F545" s="327"/>
      <c r="G545" s="327" t="s">
        <v>1277</v>
      </c>
      <c r="H545" s="325" t="s">
        <v>2085</v>
      </c>
      <c r="I545" s="325" t="s">
        <v>2324</v>
      </c>
      <c r="J545" s="328">
        <v>44</v>
      </c>
      <c r="K545" s="329">
        <v>4413</v>
      </c>
      <c r="L545" s="325" t="s">
        <v>2878</v>
      </c>
      <c r="M545" s="326" t="s">
        <v>226</v>
      </c>
      <c r="N545" s="326"/>
      <c r="O545" s="330">
        <v>641.04</v>
      </c>
      <c r="P545" s="330">
        <v>4.74</v>
      </c>
      <c r="Q545" s="331">
        <v>4413</v>
      </c>
      <c r="R545" s="330">
        <v>100000</v>
      </c>
      <c r="S545" s="330">
        <v>11000</v>
      </c>
      <c r="T545" s="326" t="s">
        <v>170</v>
      </c>
      <c r="U545" s="326" t="s">
        <v>2040</v>
      </c>
      <c r="V545" s="332">
        <v>44135</v>
      </c>
      <c r="W545" s="333">
        <v>21199</v>
      </c>
    </row>
    <row r="546" spans="1:23" ht="45" customHeight="1" x14ac:dyDescent="0.4">
      <c r="A546" s="323">
        <v>441628</v>
      </c>
      <c r="B546" s="324" t="s">
        <v>4679</v>
      </c>
      <c r="C546" s="325" t="s">
        <v>2879</v>
      </c>
      <c r="D546" s="326" t="s">
        <v>2045</v>
      </c>
      <c r="E546" s="327" t="s">
        <v>1278</v>
      </c>
      <c r="F546" s="327"/>
      <c r="G546" s="327" t="s">
        <v>1279</v>
      </c>
      <c r="H546" s="325" t="s">
        <v>2085</v>
      </c>
      <c r="I546" s="325" t="s">
        <v>228</v>
      </c>
      <c r="J546" s="328">
        <v>44</v>
      </c>
      <c r="K546" s="329">
        <v>4412</v>
      </c>
      <c r="L546" s="325" t="s">
        <v>2880</v>
      </c>
      <c r="M546" s="326" t="s">
        <v>226</v>
      </c>
      <c r="N546" s="326"/>
      <c r="O546" s="330">
        <v>223.3</v>
      </c>
      <c r="P546" s="330">
        <v>1.01</v>
      </c>
      <c r="Q546" s="331">
        <v>4412</v>
      </c>
      <c r="R546" s="330">
        <v>250000</v>
      </c>
      <c r="S546" s="330">
        <v>21000</v>
      </c>
      <c r="T546" s="326" t="s">
        <v>170</v>
      </c>
      <c r="U546" s="326" t="s">
        <v>2040</v>
      </c>
      <c r="V546" s="332">
        <v>44110</v>
      </c>
      <c r="W546" s="333" t="s">
        <v>228</v>
      </c>
    </row>
    <row r="547" spans="1:23" ht="45" customHeight="1" x14ac:dyDescent="0.4">
      <c r="A547" s="323">
        <v>441758</v>
      </c>
      <c r="B547" s="324" t="s">
        <v>4680</v>
      </c>
      <c r="C547" s="325" t="s">
        <v>2881</v>
      </c>
      <c r="D547" s="326" t="s">
        <v>2084</v>
      </c>
      <c r="E547" s="327" t="s">
        <v>3732</v>
      </c>
      <c r="F547" s="327"/>
      <c r="G547" s="327" t="s">
        <v>1280</v>
      </c>
      <c r="H547" s="325" t="s">
        <v>2085</v>
      </c>
      <c r="I547" s="325" t="s">
        <v>228</v>
      </c>
      <c r="J547" s="328">
        <v>44</v>
      </c>
      <c r="K547" s="329">
        <v>4411</v>
      </c>
      <c r="L547" s="325" t="s">
        <v>2300</v>
      </c>
      <c r="M547" s="326" t="s">
        <v>226</v>
      </c>
      <c r="N547" s="326"/>
      <c r="O547" s="330">
        <v>371</v>
      </c>
      <c r="P547" s="330">
        <v>2.2599999999999998</v>
      </c>
      <c r="Q547" s="331">
        <v>4411</v>
      </c>
      <c r="R547" s="330">
        <v>1400000</v>
      </c>
      <c r="S547" s="330">
        <v>47000</v>
      </c>
      <c r="T547" s="326" t="s">
        <v>170</v>
      </c>
      <c r="U547" s="326" t="s">
        <v>2040</v>
      </c>
      <c r="V547" s="332">
        <v>44110</v>
      </c>
      <c r="W547" s="333" t="s">
        <v>228</v>
      </c>
    </row>
    <row r="548" spans="1:23" ht="45" customHeight="1" x14ac:dyDescent="0.4">
      <c r="A548" s="323">
        <v>442257</v>
      </c>
      <c r="B548" s="324" t="s">
        <v>4681</v>
      </c>
      <c r="C548" s="325" t="s">
        <v>2882</v>
      </c>
      <c r="D548" s="326" t="s">
        <v>2084</v>
      </c>
      <c r="E548" s="327" t="s">
        <v>1281</v>
      </c>
      <c r="F548" s="327" t="s">
        <v>3857</v>
      </c>
      <c r="G548" s="327" t="s">
        <v>1282</v>
      </c>
      <c r="H548" s="325" t="s">
        <v>2085</v>
      </c>
      <c r="I548" s="325" t="s">
        <v>2324</v>
      </c>
      <c r="J548" s="328">
        <v>44</v>
      </c>
      <c r="K548" s="329">
        <v>4423</v>
      </c>
      <c r="L548" s="325" t="s">
        <v>2601</v>
      </c>
      <c r="M548" s="326" t="s">
        <v>226</v>
      </c>
      <c r="N548" s="326" t="s">
        <v>2602</v>
      </c>
      <c r="O548" s="330">
        <v>693.84</v>
      </c>
      <c r="P548" s="330">
        <v>6.07</v>
      </c>
      <c r="Q548" s="331">
        <v>4423</v>
      </c>
      <c r="R548" s="330">
        <v>190000</v>
      </c>
      <c r="S548" s="330">
        <v>1900</v>
      </c>
      <c r="T548" s="326" t="s">
        <v>170</v>
      </c>
      <c r="U548" s="326" t="s">
        <v>2040</v>
      </c>
      <c r="V548" s="332" t="s">
        <v>2883</v>
      </c>
      <c r="W548" s="333">
        <v>44130</v>
      </c>
    </row>
    <row r="549" spans="1:23" ht="45" customHeight="1" x14ac:dyDescent="0.4">
      <c r="A549" s="323">
        <v>442258</v>
      </c>
      <c r="B549" s="324" t="s">
        <v>2307</v>
      </c>
      <c r="C549" s="325" t="s">
        <v>2884</v>
      </c>
      <c r="D549" s="326" t="s">
        <v>2084</v>
      </c>
      <c r="E549" s="327" t="s">
        <v>3733</v>
      </c>
      <c r="F549" s="327"/>
      <c r="G549" s="327" t="s">
        <v>1283</v>
      </c>
      <c r="H549" s="325" t="s">
        <v>2035</v>
      </c>
      <c r="I549" s="325" t="s">
        <v>2085</v>
      </c>
      <c r="J549" s="328">
        <v>41</v>
      </c>
      <c r="K549" s="329">
        <v>4122</v>
      </c>
      <c r="L549" s="325" t="s">
        <v>2307</v>
      </c>
      <c r="M549" s="326" t="s">
        <v>226</v>
      </c>
      <c r="N549" s="326"/>
      <c r="O549" s="330">
        <v>522.78</v>
      </c>
      <c r="P549" s="330">
        <v>0.91</v>
      </c>
      <c r="Q549" s="331">
        <v>4122</v>
      </c>
      <c r="R549" s="330">
        <v>14000</v>
      </c>
      <c r="S549" s="330">
        <v>1700</v>
      </c>
      <c r="T549" s="326" t="s">
        <v>170</v>
      </c>
      <c r="U549" s="326" t="s">
        <v>2040</v>
      </c>
      <c r="V549" s="332" t="s">
        <v>228</v>
      </c>
      <c r="W549" s="333">
        <v>14187</v>
      </c>
    </row>
    <row r="550" spans="1:23" ht="45" customHeight="1" x14ac:dyDescent="0.4">
      <c r="A550" s="323">
        <v>442421</v>
      </c>
      <c r="B550" s="324" t="s">
        <v>4682</v>
      </c>
      <c r="C550" s="325" t="s">
        <v>2885</v>
      </c>
      <c r="D550" s="326" t="s">
        <v>2084</v>
      </c>
      <c r="E550" s="327" t="s">
        <v>1284</v>
      </c>
      <c r="F550" s="327"/>
      <c r="G550" s="327" t="s">
        <v>1285</v>
      </c>
      <c r="H550" s="325" t="s">
        <v>2035</v>
      </c>
      <c r="I550" s="325" t="s">
        <v>2085</v>
      </c>
      <c r="J550" s="328">
        <v>44</v>
      </c>
      <c r="K550" s="329">
        <v>4424</v>
      </c>
      <c r="L550" s="325" t="s">
        <v>2886</v>
      </c>
      <c r="M550" s="326" t="s">
        <v>226</v>
      </c>
      <c r="N550" s="326"/>
      <c r="O550" s="330">
        <v>147.43</v>
      </c>
      <c r="P550" s="330">
        <v>2.15</v>
      </c>
      <c r="Q550" s="331">
        <v>4424</v>
      </c>
      <c r="R550" s="330">
        <v>600000</v>
      </c>
      <c r="S550" s="330">
        <v>73000</v>
      </c>
      <c r="T550" s="326" t="s">
        <v>170</v>
      </c>
      <c r="U550" s="326" t="s">
        <v>2040</v>
      </c>
      <c r="V550" s="332">
        <v>44230</v>
      </c>
      <c r="W550" s="333">
        <v>44120</v>
      </c>
    </row>
    <row r="551" spans="1:23" ht="45" customHeight="1" x14ac:dyDescent="0.4">
      <c r="A551" s="323">
        <v>442515</v>
      </c>
      <c r="B551" s="324" t="s">
        <v>1286</v>
      </c>
      <c r="C551" s="325" t="s">
        <v>2887</v>
      </c>
      <c r="D551" s="326" t="s">
        <v>2084</v>
      </c>
      <c r="E551" s="327" t="s">
        <v>1287</v>
      </c>
      <c r="F551" s="327"/>
      <c r="G551" s="327" t="s">
        <v>1288</v>
      </c>
      <c r="H551" s="325" t="s">
        <v>2888</v>
      </c>
      <c r="I551" s="325" t="s">
        <v>228</v>
      </c>
      <c r="J551" s="328">
        <v>53</v>
      </c>
      <c r="K551" s="329">
        <v>5306</v>
      </c>
      <c r="L551" s="325" t="s">
        <v>2889</v>
      </c>
      <c r="M551" s="326" t="s">
        <v>226</v>
      </c>
      <c r="N551" s="326"/>
      <c r="O551" s="330">
        <v>206.55</v>
      </c>
      <c r="P551" s="330">
        <v>3.47</v>
      </c>
      <c r="Q551" s="331">
        <v>5306</v>
      </c>
      <c r="R551" s="330">
        <v>310000</v>
      </c>
      <c r="S551" s="330">
        <v>10000</v>
      </c>
      <c r="T551" s="326" t="s">
        <v>170</v>
      </c>
      <c r="U551" s="326" t="s">
        <v>2040</v>
      </c>
      <c r="V551" s="332">
        <v>53060</v>
      </c>
      <c r="W551" s="333" t="s">
        <v>2890</v>
      </c>
    </row>
    <row r="552" spans="1:23" ht="45" customHeight="1" x14ac:dyDescent="0.4">
      <c r="A552" s="323">
        <v>442621</v>
      </c>
      <c r="B552" s="324" t="s">
        <v>4683</v>
      </c>
      <c r="C552" s="325" t="s">
        <v>1289</v>
      </c>
      <c r="D552" s="326" t="s">
        <v>2084</v>
      </c>
      <c r="E552" s="327" t="s">
        <v>1290</v>
      </c>
      <c r="F552" s="327"/>
      <c r="G552" s="327" t="s">
        <v>1291</v>
      </c>
      <c r="H552" s="325" t="s">
        <v>2035</v>
      </c>
      <c r="I552" s="325" t="s">
        <v>228</v>
      </c>
      <c r="J552" s="328">
        <v>44</v>
      </c>
      <c r="K552" s="329">
        <v>4426</v>
      </c>
      <c r="L552" s="325" t="s">
        <v>2891</v>
      </c>
      <c r="M552" s="326" t="s">
        <v>226</v>
      </c>
      <c r="N552" s="326"/>
      <c r="O552" s="330">
        <v>36.770000000000003</v>
      </c>
      <c r="P552" s="330">
        <v>1.1399999999999999</v>
      </c>
      <c r="Q552" s="331">
        <v>4426</v>
      </c>
      <c r="R552" s="330">
        <v>8000</v>
      </c>
      <c r="S552" s="330">
        <v>2000</v>
      </c>
      <c r="T552" s="326" t="s">
        <v>170</v>
      </c>
      <c r="U552" s="326" t="s">
        <v>2040</v>
      </c>
      <c r="V552" s="332">
        <v>44216</v>
      </c>
      <c r="W552" s="333" t="s">
        <v>228</v>
      </c>
    </row>
    <row r="553" spans="1:23" ht="45" customHeight="1" x14ac:dyDescent="0.4">
      <c r="A553" s="323">
        <v>442628</v>
      </c>
      <c r="B553" s="324" t="s">
        <v>4684</v>
      </c>
      <c r="C553" s="325" t="s">
        <v>2892</v>
      </c>
      <c r="D553" s="326" t="s">
        <v>2045</v>
      </c>
      <c r="E553" s="327" t="s">
        <v>3734</v>
      </c>
      <c r="F553" s="327" t="s">
        <v>3858</v>
      </c>
      <c r="G553" s="327" t="s">
        <v>1292</v>
      </c>
      <c r="H553" s="325" t="s">
        <v>2085</v>
      </c>
      <c r="I553" s="325" t="s">
        <v>228</v>
      </c>
      <c r="J553" s="328">
        <v>44</v>
      </c>
      <c r="K553" s="329">
        <v>4422</v>
      </c>
      <c r="L553" s="325" t="s">
        <v>2353</v>
      </c>
      <c r="M553" s="326" t="s">
        <v>226</v>
      </c>
      <c r="N553" s="326" t="s">
        <v>2602</v>
      </c>
      <c r="O553" s="330">
        <v>195.5</v>
      </c>
      <c r="P553" s="330">
        <v>1.49</v>
      </c>
      <c r="Q553" s="331">
        <v>4422</v>
      </c>
      <c r="R553" s="330">
        <v>400000</v>
      </c>
      <c r="S553" s="330">
        <v>5500</v>
      </c>
      <c r="T553" s="326" t="s">
        <v>170</v>
      </c>
      <c r="U553" s="326" t="s">
        <v>2040</v>
      </c>
      <c r="V553" s="332">
        <v>44222</v>
      </c>
      <c r="W553" s="333">
        <v>44135</v>
      </c>
    </row>
    <row r="554" spans="1:23" ht="45" customHeight="1" x14ac:dyDescent="0.4">
      <c r="A554" s="323">
        <v>442758</v>
      </c>
      <c r="B554" s="324" t="s">
        <v>4685</v>
      </c>
      <c r="C554" s="325" t="s">
        <v>2893</v>
      </c>
      <c r="D554" s="326" t="s">
        <v>2084</v>
      </c>
      <c r="E554" s="327" t="s">
        <v>1293</v>
      </c>
      <c r="F554" s="327" t="s">
        <v>3858</v>
      </c>
      <c r="G554" s="327" t="s">
        <v>1294</v>
      </c>
      <c r="H554" s="325" t="s">
        <v>2085</v>
      </c>
      <c r="I554" s="325" t="s">
        <v>228</v>
      </c>
      <c r="J554" s="328">
        <v>44</v>
      </c>
      <c r="K554" s="329">
        <v>4428</v>
      </c>
      <c r="L554" s="325" t="s">
        <v>2894</v>
      </c>
      <c r="M554" s="326" t="s">
        <v>226</v>
      </c>
      <c r="N554" s="326" t="s">
        <v>2602</v>
      </c>
      <c r="O554" s="330">
        <v>139.13</v>
      </c>
      <c r="P554" s="330">
        <v>2.4300000000000002</v>
      </c>
      <c r="Q554" s="331">
        <v>4428</v>
      </c>
      <c r="R554" s="330">
        <v>300000</v>
      </c>
      <c r="S554" s="330">
        <v>600</v>
      </c>
      <c r="T554" s="326" t="s">
        <v>170</v>
      </c>
      <c r="U554" s="326" t="s">
        <v>2040</v>
      </c>
      <c r="V554" s="332">
        <v>44227</v>
      </c>
      <c r="W554" s="333" t="s">
        <v>228</v>
      </c>
    </row>
    <row r="555" spans="1:23" ht="45" customHeight="1" x14ac:dyDescent="0.4">
      <c r="A555" s="323">
        <v>442765</v>
      </c>
      <c r="B555" s="324" t="s">
        <v>4686</v>
      </c>
      <c r="C555" s="325" t="s">
        <v>2895</v>
      </c>
      <c r="D555" s="326" t="s">
        <v>2084</v>
      </c>
      <c r="E555" s="327" t="s">
        <v>1295</v>
      </c>
      <c r="F555" s="327"/>
      <c r="G555" s="327" t="s">
        <v>1296</v>
      </c>
      <c r="H555" s="325" t="s">
        <v>2874</v>
      </c>
      <c r="I555" s="325" t="s">
        <v>2085</v>
      </c>
      <c r="J555" s="328">
        <v>43</v>
      </c>
      <c r="K555" s="329">
        <v>4321</v>
      </c>
      <c r="L555" s="325" t="s">
        <v>2875</v>
      </c>
      <c r="M555" s="326" t="s">
        <v>226</v>
      </c>
      <c r="N555" s="326"/>
      <c r="O555" s="330">
        <v>655.51</v>
      </c>
      <c r="P555" s="330">
        <v>4.5599999999999996</v>
      </c>
      <c r="Q555" s="331">
        <v>4321</v>
      </c>
      <c r="R555" s="330">
        <v>190000</v>
      </c>
      <c r="S555" s="330">
        <v>15000</v>
      </c>
      <c r="T555" s="326" t="s">
        <v>170</v>
      </c>
      <c r="U555" s="326" t="s">
        <v>2040</v>
      </c>
      <c r="V555" s="332" t="s">
        <v>228</v>
      </c>
      <c r="W555" s="333">
        <v>74024</v>
      </c>
    </row>
    <row r="556" spans="1:23" ht="45" customHeight="1" x14ac:dyDescent="0.4">
      <c r="A556" s="323">
        <v>442768</v>
      </c>
      <c r="B556" s="324" t="s">
        <v>4687</v>
      </c>
      <c r="C556" s="325" t="s">
        <v>2896</v>
      </c>
      <c r="D556" s="326" t="s">
        <v>2084</v>
      </c>
      <c r="E556" s="327" t="s">
        <v>1297</v>
      </c>
      <c r="F556" s="327"/>
      <c r="G556" s="327" t="s">
        <v>1298</v>
      </c>
      <c r="H556" s="325" t="s">
        <v>2897</v>
      </c>
      <c r="I556" s="325" t="s">
        <v>228</v>
      </c>
      <c r="J556" s="328">
        <v>44</v>
      </c>
      <c r="K556" s="329">
        <v>4421</v>
      </c>
      <c r="L556" s="325" t="s">
        <v>2704</v>
      </c>
      <c r="M556" s="326" t="s">
        <v>226</v>
      </c>
      <c r="N556" s="326" t="s">
        <v>2602</v>
      </c>
      <c r="O556" s="330">
        <v>330</v>
      </c>
      <c r="P556" s="330">
        <v>2.79</v>
      </c>
      <c r="Q556" s="331">
        <v>4421</v>
      </c>
      <c r="R556" s="330">
        <v>1500000</v>
      </c>
      <c r="S556" s="330">
        <v>18000</v>
      </c>
      <c r="T556" s="326" t="s">
        <v>170</v>
      </c>
      <c r="U556" s="326" t="s">
        <v>2040</v>
      </c>
      <c r="V556" s="332">
        <v>44288</v>
      </c>
      <c r="W556" s="333">
        <v>44110</v>
      </c>
    </row>
    <row r="557" spans="1:23" ht="45" customHeight="1" x14ac:dyDescent="0.4">
      <c r="A557" s="323">
        <v>442769</v>
      </c>
      <c r="B557" s="324" t="s">
        <v>4688</v>
      </c>
      <c r="C557" s="325" t="s">
        <v>2898</v>
      </c>
      <c r="D557" s="326" t="s">
        <v>2084</v>
      </c>
      <c r="E557" s="327" t="s">
        <v>1299</v>
      </c>
      <c r="F557" s="327"/>
      <c r="G557" s="327" t="s">
        <v>1300</v>
      </c>
      <c r="H557" s="325" t="s">
        <v>2899</v>
      </c>
      <c r="I557" s="325" t="s">
        <v>2900</v>
      </c>
      <c r="J557" s="328">
        <v>44</v>
      </c>
      <c r="K557" s="329">
        <v>4421</v>
      </c>
      <c r="L557" s="325" t="s">
        <v>2704</v>
      </c>
      <c r="M557" s="326" t="s">
        <v>226</v>
      </c>
      <c r="N557" s="326" t="s">
        <v>2602</v>
      </c>
      <c r="O557" s="330">
        <v>330</v>
      </c>
      <c r="P557" s="330">
        <v>2.79</v>
      </c>
      <c r="Q557" s="331">
        <v>4421</v>
      </c>
      <c r="R557" s="330">
        <v>1500000</v>
      </c>
      <c r="S557" s="330">
        <v>18000</v>
      </c>
      <c r="T557" s="326" t="s">
        <v>170</v>
      </c>
      <c r="U557" s="326" t="s">
        <v>2040</v>
      </c>
      <c r="V557" s="332">
        <v>44271</v>
      </c>
      <c r="W557" s="333">
        <v>44110</v>
      </c>
    </row>
    <row r="558" spans="1:23" ht="45" customHeight="1" x14ac:dyDescent="0.4">
      <c r="A558" s="323">
        <v>451100</v>
      </c>
      <c r="B558" s="324" t="s">
        <v>4689</v>
      </c>
      <c r="C558" s="325" t="s">
        <v>2901</v>
      </c>
      <c r="D558" s="326" t="s">
        <v>2045</v>
      </c>
      <c r="E558" s="327" t="s">
        <v>4690</v>
      </c>
      <c r="F558" s="327"/>
      <c r="G558" s="327" t="s">
        <v>383</v>
      </c>
      <c r="H558" s="325" t="e">
        <v>#N/A</v>
      </c>
      <c r="I558" s="325" t="e">
        <v>#N/A</v>
      </c>
      <c r="J558" s="328">
        <v>45</v>
      </c>
      <c r="K558" s="329">
        <v>4521</v>
      </c>
      <c r="L558" s="325" t="s">
        <v>2902</v>
      </c>
      <c r="M558" s="326" t="s">
        <v>2038</v>
      </c>
      <c r="N558" s="326"/>
      <c r="O558" s="330">
        <v>145.76</v>
      </c>
      <c r="P558" s="330">
        <v>0.19</v>
      </c>
      <c r="Q558" s="331">
        <v>4521</v>
      </c>
      <c r="R558" s="330">
        <v>490000</v>
      </c>
      <c r="S558" s="330">
        <v>7500</v>
      </c>
      <c r="T558" s="326" t="s">
        <v>170</v>
      </c>
      <c r="U558" s="326" t="s">
        <v>2040</v>
      </c>
      <c r="V558" s="332"/>
      <c r="W558" s="333">
        <v>45110</v>
      </c>
    </row>
    <row r="559" spans="1:23" ht="45" customHeight="1" x14ac:dyDescent="0.4">
      <c r="A559" s="323">
        <v>451134</v>
      </c>
      <c r="B559" s="324" t="s">
        <v>2904</v>
      </c>
      <c r="C559" s="325" t="s">
        <v>2903</v>
      </c>
      <c r="D559" s="326" t="s">
        <v>2045</v>
      </c>
      <c r="E559" s="327" t="s">
        <v>3735</v>
      </c>
      <c r="F559" s="327"/>
      <c r="G559" s="327" t="s">
        <v>1301</v>
      </c>
      <c r="H559" s="325" t="s">
        <v>2085</v>
      </c>
      <c r="I559" s="325" t="s">
        <v>228</v>
      </c>
      <c r="J559" s="328">
        <v>45</v>
      </c>
      <c r="K559" s="329">
        <v>4511</v>
      </c>
      <c r="L559" s="325" t="s">
        <v>2904</v>
      </c>
      <c r="M559" s="326" t="s">
        <v>2038</v>
      </c>
      <c r="N559" s="326"/>
      <c r="O559" s="330">
        <v>170.77</v>
      </c>
      <c r="P559" s="330">
        <v>0.19</v>
      </c>
      <c r="Q559" s="331">
        <v>4511</v>
      </c>
      <c r="R559" s="330">
        <v>290000</v>
      </c>
      <c r="S559" s="330">
        <v>16000</v>
      </c>
      <c r="T559" s="326" t="s">
        <v>170</v>
      </c>
      <c r="U559" s="326" t="s">
        <v>2040</v>
      </c>
      <c r="V559" s="332">
        <v>45110</v>
      </c>
      <c r="W559" s="333" t="s">
        <v>228</v>
      </c>
    </row>
    <row r="560" spans="1:23" ht="45" customHeight="1" x14ac:dyDescent="0.4">
      <c r="A560" s="323">
        <v>452200</v>
      </c>
      <c r="B560" s="324" t="s">
        <v>4691</v>
      </c>
      <c r="C560" s="325" t="s">
        <v>3736</v>
      </c>
      <c r="D560" s="326" t="s">
        <v>2045</v>
      </c>
      <c r="E560" s="327" t="s">
        <v>4692</v>
      </c>
      <c r="F560" s="327"/>
      <c r="G560" s="327" t="s">
        <v>383</v>
      </c>
      <c r="H560" s="325"/>
      <c r="I560" s="325"/>
      <c r="J560" s="326">
        <v>89</v>
      </c>
      <c r="K560" s="329">
        <v>8926</v>
      </c>
      <c r="L560" s="325" t="s">
        <v>3396</v>
      </c>
      <c r="M560" s="326" t="s">
        <v>2076</v>
      </c>
      <c r="N560" s="326"/>
      <c r="O560" s="330">
        <v>2426698.8199999998</v>
      </c>
      <c r="P560" s="330">
        <v>5108.05</v>
      </c>
      <c r="Q560" s="331">
        <v>8926</v>
      </c>
      <c r="R560" s="330">
        <v>1</v>
      </c>
      <c r="S560" s="330">
        <v>1</v>
      </c>
      <c r="T560" s="326" t="s">
        <v>170</v>
      </c>
      <c r="U560" s="326" t="s">
        <v>2040</v>
      </c>
      <c r="V560" s="332"/>
      <c r="W560" s="333"/>
    </row>
    <row r="561" spans="1:23" ht="45" customHeight="1" x14ac:dyDescent="0.4">
      <c r="A561" s="323">
        <v>452252</v>
      </c>
      <c r="B561" s="324" t="s">
        <v>4693</v>
      </c>
      <c r="C561" s="325" t="s">
        <v>2905</v>
      </c>
      <c r="D561" s="326" t="s">
        <v>2045</v>
      </c>
      <c r="E561" s="327" t="s">
        <v>1302</v>
      </c>
      <c r="F561" s="327" t="s">
        <v>3858</v>
      </c>
      <c r="G561" s="327" t="s">
        <v>1303</v>
      </c>
      <c r="H561" s="325" t="s">
        <v>2085</v>
      </c>
      <c r="I561" s="325" t="s">
        <v>228</v>
      </c>
      <c r="J561" s="328">
        <v>45</v>
      </c>
      <c r="K561" s="329">
        <v>4521</v>
      </c>
      <c r="L561" s="325" t="s">
        <v>2902</v>
      </c>
      <c r="M561" s="326" t="s">
        <v>2038</v>
      </c>
      <c r="N561" s="326"/>
      <c r="O561" s="330">
        <v>145.76</v>
      </c>
      <c r="P561" s="330">
        <v>0.19</v>
      </c>
      <c r="Q561" s="331">
        <v>4521</v>
      </c>
      <c r="R561" s="330">
        <v>490000</v>
      </c>
      <c r="S561" s="330">
        <v>7500</v>
      </c>
      <c r="T561" s="326" t="s">
        <v>170</v>
      </c>
      <c r="U561" s="326" t="s">
        <v>2040</v>
      </c>
      <c r="V561" s="332">
        <v>45210</v>
      </c>
      <c r="W561" s="333">
        <v>45110</v>
      </c>
    </row>
    <row r="562" spans="1:23" ht="45" customHeight="1" x14ac:dyDescent="0.4">
      <c r="A562" s="323">
        <v>452255</v>
      </c>
      <c r="B562" s="324" t="s">
        <v>4694</v>
      </c>
      <c r="C562" s="325" t="s">
        <v>2906</v>
      </c>
      <c r="D562" s="326" t="s">
        <v>2045</v>
      </c>
      <c r="E562" s="327" t="s">
        <v>1304</v>
      </c>
      <c r="F562" s="327"/>
      <c r="G562" s="327" t="s">
        <v>1305</v>
      </c>
      <c r="H562" s="325" t="s">
        <v>2035</v>
      </c>
      <c r="I562" s="325" t="s">
        <v>228</v>
      </c>
      <c r="J562" s="328">
        <v>45</v>
      </c>
      <c r="K562" s="329">
        <v>4521</v>
      </c>
      <c r="L562" s="325" t="s">
        <v>2902</v>
      </c>
      <c r="M562" s="326" t="s">
        <v>2038</v>
      </c>
      <c r="N562" s="326"/>
      <c r="O562" s="330">
        <v>145.76</v>
      </c>
      <c r="P562" s="330">
        <v>0.19</v>
      </c>
      <c r="Q562" s="331">
        <v>4521</v>
      </c>
      <c r="R562" s="330">
        <v>490000</v>
      </c>
      <c r="S562" s="330">
        <v>7500</v>
      </c>
      <c r="T562" s="326" t="s">
        <v>170</v>
      </c>
      <c r="U562" s="326" t="s">
        <v>2040</v>
      </c>
      <c r="V562" s="332">
        <v>45210</v>
      </c>
      <c r="W562" s="333">
        <v>45110</v>
      </c>
    </row>
    <row r="563" spans="1:23" ht="45" customHeight="1" x14ac:dyDescent="0.4">
      <c r="A563" s="323">
        <v>452258</v>
      </c>
      <c r="B563" s="324" t="s">
        <v>4695</v>
      </c>
      <c r="C563" s="325" t="s">
        <v>2907</v>
      </c>
      <c r="D563" s="326" t="s">
        <v>2045</v>
      </c>
      <c r="E563" s="327" t="s">
        <v>4696</v>
      </c>
      <c r="F563" s="327"/>
      <c r="G563" s="327" t="s">
        <v>1306</v>
      </c>
      <c r="H563" s="325" t="s">
        <v>2085</v>
      </c>
      <c r="I563" s="325" t="s">
        <v>228</v>
      </c>
      <c r="J563" s="328">
        <v>45</v>
      </c>
      <c r="K563" s="329">
        <v>4521</v>
      </c>
      <c r="L563" s="325" t="s">
        <v>2902</v>
      </c>
      <c r="M563" s="326" t="s">
        <v>2038</v>
      </c>
      <c r="N563" s="326"/>
      <c r="O563" s="330">
        <v>145.76</v>
      </c>
      <c r="P563" s="330">
        <v>0.19</v>
      </c>
      <c r="Q563" s="331">
        <v>4521</v>
      </c>
      <c r="R563" s="330">
        <v>490000</v>
      </c>
      <c r="S563" s="330">
        <v>7500</v>
      </c>
      <c r="T563" s="326" t="s">
        <v>170</v>
      </c>
      <c r="U563" s="326" t="s">
        <v>2040</v>
      </c>
      <c r="V563" s="332">
        <v>45210</v>
      </c>
      <c r="W563" s="333">
        <v>45170</v>
      </c>
    </row>
    <row r="564" spans="1:23" ht="45" customHeight="1" x14ac:dyDescent="0.4">
      <c r="A564" s="323">
        <v>452775</v>
      </c>
      <c r="B564" s="324" t="s">
        <v>4697</v>
      </c>
      <c r="C564" s="325" t="s">
        <v>2908</v>
      </c>
      <c r="D564" s="326" t="s">
        <v>2045</v>
      </c>
      <c r="E564" s="327" t="s">
        <v>1307</v>
      </c>
      <c r="F564" s="327"/>
      <c r="G564" s="327" t="s">
        <v>1305</v>
      </c>
      <c r="H564" s="325" t="s">
        <v>2283</v>
      </c>
      <c r="I564" s="325" t="s">
        <v>228</v>
      </c>
      <c r="J564" s="328">
        <v>45</v>
      </c>
      <c r="K564" s="329">
        <v>4521</v>
      </c>
      <c r="L564" s="325" t="s">
        <v>2902</v>
      </c>
      <c r="M564" s="326" t="s">
        <v>2038</v>
      </c>
      <c r="N564" s="326"/>
      <c r="O564" s="330">
        <v>145.76</v>
      </c>
      <c r="P564" s="330">
        <v>0.19</v>
      </c>
      <c r="Q564" s="331">
        <v>4521</v>
      </c>
      <c r="R564" s="330">
        <v>490000</v>
      </c>
      <c r="S564" s="330">
        <v>7500</v>
      </c>
      <c r="T564" s="326" t="s">
        <v>170</v>
      </c>
      <c r="U564" s="326" t="s">
        <v>2040</v>
      </c>
      <c r="V564" s="332">
        <v>45210</v>
      </c>
      <c r="W564" s="333">
        <v>45110</v>
      </c>
    </row>
    <row r="565" spans="1:23" ht="45" customHeight="1" x14ac:dyDescent="0.4">
      <c r="A565" s="323">
        <v>510001</v>
      </c>
      <c r="B565" s="324" t="s">
        <v>4698</v>
      </c>
      <c r="C565" s="325" t="s">
        <v>2909</v>
      </c>
      <c r="D565" s="326" t="s">
        <v>2084</v>
      </c>
      <c r="E565" s="327" t="s">
        <v>1308</v>
      </c>
      <c r="F565" s="327"/>
      <c r="G565" s="327" t="s">
        <v>1309</v>
      </c>
      <c r="H565" s="325" t="s">
        <v>2888</v>
      </c>
      <c r="I565" s="325" t="s">
        <v>228</v>
      </c>
      <c r="J565" s="328">
        <v>51</v>
      </c>
      <c r="K565" s="329">
        <v>5100</v>
      </c>
      <c r="L565" s="325" t="s">
        <v>2910</v>
      </c>
      <c r="M565" s="326" t="s">
        <v>226</v>
      </c>
      <c r="N565" s="326" t="s">
        <v>2911</v>
      </c>
      <c r="O565" s="330">
        <v>673.82</v>
      </c>
      <c r="P565" s="330">
        <v>9.0500000000000007</v>
      </c>
      <c r="Q565" s="331">
        <v>5100</v>
      </c>
      <c r="R565" s="330">
        <v>1300000</v>
      </c>
      <c r="S565" s="330">
        <v>140000</v>
      </c>
      <c r="T565" s="326" t="s">
        <v>170</v>
      </c>
      <c r="U565" s="326" t="s">
        <v>2040</v>
      </c>
      <c r="V565" s="332">
        <v>51010</v>
      </c>
      <c r="W565" s="333" t="s">
        <v>2912</v>
      </c>
    </row>
    <row r="566" spans="1:23" ht="45" customHeight="1" x14ac:dyDescent="0.4">
      <c r="A566" s="323">
        <v>510125</v>
      </c>
      <c r="B566" s="324" t="s">
        <v>4699</v>
      </c>
      <c r="C566" s="325" t="s">
        <v>2913</v>
      </c>
      <c r="D566" s="326" t="s">
        <v>2084</v>
      </c>
      <c r="E566" s="327" t="s">
        <v>1310</v>
      </c>
      <c r="F566" s="327" t="s">
        <v>4700</v>
      </c>
      <c r="G566" s="327" t="s">
        <v>1311</v>
      </c>
      <c r="H566" s="325" t="s">
        <v>2888</v>
      </c>
      <c r="I566" s="325" t="s">
        <v>228</v>
      </c>
      <c r="J566" s="328">
        <v>61</v>
      </c>
      <c r="K566" s="329">
        <v>6100</v>
      </c>
      <c r="L566" s="325" t="s">
        <v>2408</v>
      </c>
      <c r="M566" s="326" t="s">
        <v>226</v>
      </c>
      <c r="N566" s="326" t="s">
        <v>2232</v>
      </c>
      <c r="O566" s="330">
        <v>587</v>
      </c>
      <c r="P566" s="330">
        <v>4.5999999999999996</v>
      </c>
      <c r="Q566" s="331">
        <v>6100</v>
      </c>
      <c r="R566" s="330">
        <v>1000000</v>
      </c>
      <c r="S566" s="330">
        <v>8400</v>
      </c>
      <c r="T566" s="326" t="s">
        <v>170</v>
      </c>
      <c r="U566" s="326" t="s">
        <v>2040</v>
      </c>
      <c r="V566" s="332">
        <v>51016</v>
      </c>
      <c r="W566" s="333">
        <v>51016</v>
      </c>
    </row>
    <row r="567" spans="1:23" ht="45" customHeight="1" x14ac:dyDescent="0.4">
      <c r="A567" s="323">
        <v>510126</v>
      </c>
      <c r="B567" s="324" t="s">
        <v>4701</v>
      </c>
      <c r="C567" s="325" t="s">
        <v>2914</v>
      </c>
      <c r="D567" s="326" t="s">
        <v>2084</v>
      </c>
      <c r="E567" s="327" t="s">
        <v>1312</v>
      </c>
      <c r="F567" s="327" t="s">
        <v>4700</v>
      </c>
      <c r="G567" s="327" t="s">
        <v>1313</v>
      </c>
      <c r="H567" s="325" t="s">
        <v>2888</v>
      </c>
      <c r="I567" s="325" t="s">
        <v>228</v>
      </c>
      <c r="J567" s="328">
        <v>17</v>
      </c>
      <c r="K567" s="329">
        <v>1711</v>
      </c>
      <c r="L567" s="325" t="s">
        <v>2388</v>
      </c>
      <c r="M567" s="326" t="s">
        <v>226</v>
      </c>
      <c r="N567" s="326"/>
      <c r="O567" s="330">
        <v>470</v>
      </c>
      <c r="P567" s="330">
        <v>6.15</v>
      </c>
      <c r="Q567" s="331">
        <v>1711</v>
      </c>
      <c r="R567" s="330">
        <v>210000</v>
      </c>
      <c r="S567" s="330">
        <v>12000</v>
      </c>
      <c r="T567" s="326" t="s">
        <v>170</v>
      </c>
      <c r="U567" s="326" t="s">
        <v>2040</v>
      </c>
      <c r="V567" s="332">
        <v>17120</v>
      </c>
      <c r="W567" s="333">
        <v>17110</v>
      </c>
    </row>
    <row r="568" spans="1:23" ht="45" customHeight="1" x14ac:dyDescent="0.4">
      <c r="A568" s="323">
        <v>510143</v>
      </c>
      <c r="B568" s="324" t="s">
        <v>4702</v>
      </c>
      <c r="C568" s="325" t="s">
        <v>1314</v>
      </c>
      <c r="D568" s="326" t="s">
        <v>2084</v>
      </c>
      <c r="E568" s="327" t="s">
        <v>1315</v>
      </c>
      <c r="F568" s="327" t="s">
        <v>4703</v>
      </c>
      <c r="G568" s="327" t="s">
        <v>1316</v>
      </c>
      <c r="H568" s="325" t="s">
        <v>2888</v>
      </c>
      <c r="I568" s="325" t="s">
        <v>228</v>
      </c>
      <c r="J568" s="328">
        <v>53</v>
      </c>
      <c r="K568" s="329">
        <v>5302</v>
      </c>
      <c r="L568" s="325" t="s">
        <v>2915</v>
      </c>
      <c r="M568" s="326" t="s">
        <v>226</v>
      </c>
      <c r="N568" s="326"/>
      <c r="O568" s="330">
        <v>459.02</v>
      </c>
      <c r="P568" s="330">
        <v>12.12</v>
      </c>
      <c r="Q568" s="331">
        <v>5302</v>
      </c>
      <c r="R568" s="330">
        <v>400000</v>
      </c>
      <c r="S568" s="330">
        <v>7500</v>
      </c>
      <c r="T568" s="326" t="s">
        <v>170</v>
      </c>
      <c r="U568" s="326" t="s">
        <v>2040</v>
      </c>
      <c r="V568" s="332">
        <v>53020</v>
      </c>
      <c r="W568" s="333">
        <v>53020</v>
      </c>
    </row>
    <row r="569" spans="1:23" ht="45" customHeight="1" x14ac:dyDescent="0.4">
      <c r="A569" s="323">
        <v>510147</v>
      </c>
      <c r="B569" s="324" t="s">
        <v>4704</v>
      </c>
      <c r="C569" s="325" t="s">
        <v>1317</v>
      </c>
      <c r="D569" s="326" t="s">
        <v>2084</v>
      </c>
      <c r="E569" s="327" t="s">
        <v>1318</v>
      </c>
      <c r="F569" s="327" t="s">
        <v>4705</v>
      </c>
      <c r="G569" s="327" t="s">
        <v>1319</v>
      </c>
      <c r="H569" s="325" t="s">
        <v>2888</v>
      </c>
      <c r="I569" s="325" t="s">
        <v>228</v>
      </c>
      <c r="J569" s="328">
        <v>55</v>
      </c>
      <c r="K569" s="329">
        <v>5500</v>
      </c>
      <c r="L569" s="325" t="s">
        <v>2916</v>
      </c>
      <c r="M569" s="326" t="s">
        <v>226</v>
      </c>
      <c r="N569" s="326"/>
      <c r="O569" s="330">
        <v>868</v>
      </c>
      <c r="P569" s="330">
        <v>11.52</v>
      </c>
      <c r="Q569" s="331">
        <v>5500</v>
      </c>
      <c r="R569" s="330">
        <v>600000</v>
      </c>
      <c r="S569" s="330">
        <v>16000</v>
      </c>
      <c r="T569" s="326" t="s">
        <v>170</v>
      </c>
      <c r="U569" s="326" t="s">
        <v>2040</v>
      </c>
      <c r="V569" s="332">
        <v>53025</v>
      </c>
      <c r="W569" s="333">
        <v>53025</v>
      </c>
    </row>
    <row r="570" spans="1:23" ht="45" customHeight="1" x14ac:dyDescent="0.4">
      <c r="A570" s="323">
        <v>510148</v>
      </c>
      <c r="B570" s="324" t="s">
        <v>4706</v>
      </c>
      <c r="C570" s="325" t="s">
        <v>1320</v>
      </c>
      <c r="D570" s="326" t="s">
        <v>2084</v>
      </c>
      <c r="E570" s="327" t="s">
        <v>1321</v>
      </c>
      <c r="F570" s="327" t="s">
        <v>4707</v>
      </c>
      <c r="G570" s="327" t="s">
        <v>1322</v>
      </c>
      <c r="H570" s="325" t="s">
        <v>2888</v>
      </c>
      <c r="I570" s="325" t="s">
        <v>228</v>
      </c>
      <c r="J570" s="328">
        <v>55</v>
      </c>
      <c r="K570" s="329">
        <v>5500</v>
      </c>
      <c r="L570" s="325" t="s">
        <v>2916</v>
      </c>
      <c r="M570" s="326" t="s">
        <v>226</v>
      </c>
      <c r="N570" s="326"/>
      <c r="O570" s="330">
        <v>868</v>
      </c>
      <c r="P570" s="330">
        <v>11.52</v>
      </c>
      <c r="Q570" s="331">
        <v>5500</v>
      </c>
      <c r="R570" s="330">
        <v>600000</v>
      </c>
      <c r="S570" s="330">
        <v>16000</v>
      </c>
      <c r="T570" s="326" t="s">
        <v>170</v>
      </c>
      <c r="U570" s="326" t="s">
        <v>2040</v>
      </c>
      <c r="V570" s="332">
        <v>55010</v>
      </c>
      <c r="W570" s="333" t="s">
        <v>2917</v>
      </c>
    </row>
    <row r="571" spans="1:23" ht="45" customHeight="1" x14ac:dyDescent="0.4">
      <c r="A571" s="323">
        <v>510149</v>
      </c>
      <c r="B571" s="324" t="s">
        <v>4708</v>
      </c>
      <c r="C571" s="325" t="s">
        <v>1323</v>
      </c>
      <c r="D571" s="326" t="s">
        <v>2084</v>
      </c>
      <c r="E571" s="327" t="s">
        <v>1324</v>
      </c>
      <c r="F571" s="327" t="s">
        <v>4709</v>
      </c>
      <c r="G571" s="327" t="s">
        <v>1325</v>
      </c>
      <c r="H571" s="325" t="s">
        <v>2888</v>
      </c>
      <c r="I571" s="325" t="s">
        <v>228</v>
      </c>
      <c r="J571" s="328">
        <v>55</v>
      </c>
      <c r="K571" s="329">
        <v>5500</v>
      </c>
      <c r="L571" s="325" t="s">
        <v>2916</v>
      </c>
      <c r="M571" s="326" t="s">
        <v>226</v>
      </c>
      <c r="N571" s="326"/>
      <c r="O571" s="330">
        <v>868</v>
      </c>
      <c r="P571" s="330">
        <v>11.52</v>
      </c>
      <c r="Q571" s="331">
        <v>5500</v>
      </c>
      <c r="R571" s="330">
        <v>600000</v>
      </c>
      <c r="S571" s="330">
        <v>16000</v>
      </c>
      <c r="T571" s="326" t="s">
        <v>170</v>
      </c>
      <c r="U571" s="326" t="s">
        <v>2040</v>
      </c>
      <c r="V571" s="332">
        <v>55010</v>
      </c>
      <c r="W571" s="333" t="s">
        <v>2917</v>
      </c>
    </row>
    <row r="572" spans="1:23" ht="45" customHeight="1" x14ac:dyDescent="0.4">
      <c r="A572" s="323">
        <v>510175</v>
      </c>
      <c r="B572" s="324" t="s">
        <v>4710</v>
      </c>
      <c r="C572" s="325" t="s">
        <v>2918</v>
      </c>
      <c r="D572" s="326" t="s">
        <v>2084</v>
      </c>
      <c r="E572" s="327" t="s">
        <v>1326</v>
      </c>
      <c r="F572" s="327"/>
      <c r="G572" s="327" t="s">
        <v>1327</v>
      </c>
      <c r="H572" s="325" t="s">
        <v>2888</v>
      </c>
      <c r="I572" s="325" t="s">
        <v>228</v>
      </c>
      <c r="J572" s="328">
        <v>55</v>
      </c>
      <c r="K572" s="329">
        <v>5500</v>
      </c>
      <c r="L572" s="325" t="s">
        <v>2916</v>
      </c>
      <c r="M572" s="326" t="s">
        <v>226</v>
      </c>
      <c r="N572" s="326"/>
      <c r="O572" s="330">
        <v>868</v>
      </c>
      <c r="P572" s="330">
        <v>11.52</v>
      </c>
      <c r="Q572" s="331">
        <v>5500</v>
      </c>
      <c r="R572" s="330">
        <v>600000</v>
      </c>
      <c r="S572" s="330">
        <v>16000</v>
      </c>
      <c r="T572" s="326" t="s">
        <v>170</v>
      </c>
      <c r="U572" s="326" t="s">
        <v>2040</v>
      </c>
      <c r="V572" s="332">
        <v>55010</v>
      </c>
      <c r="W572" s="333" t="s">
        <v>2917</v>
      </c>
    </row>
    <row r="573" spans="1:23" ht="45" customHeight="1" x14ac:dyDescent="0.4">
      <c r="A573" s="323">
        <v>510176</v>
      </c>
      <c r="B573" s="324" t="s">
        <v>4711</v>
      </c>
      <c r="C573" s="325" t="s">
        <v>2919</v>
      </c>
      <c r="D573" s="326" t="s">
        <v>2084</v>
      </c>
      <c r="E573" s="327" t="s">
        <v>1328</v>
      </c>
      <c r="F573" s="327"/>
      <c r="G573" s="327" t="s">
        <v>1329</v>
      </c>
      <c r="H573" s="325" t="s">
        <v>2888</v>
      </c>
      <c r="I573" s="325" t="s">
        <v>228</v>
      </c>
      <c r="J573" s="328">
        <v>55</v>
      </c>
      <c r="K573" s="329">
        <v>5500</v>
      </c>
      <c r="L573" s="325" t="s">
        <v>2916</v>
      </c>
      <c r="M573" s="326" t="s">
        <v>226</v>
      </c>
      <c r="N573" s="326"/>
      <c r="O573" s="330">
        <v>868</v>
      </c>
      <c r="P573" s="330">
        <v>11.52</v>
      </c>
      <c r="Q573" s="331">
        <v>5500</v>
      </c>
      <c r="R573" s="330">
        <v>600000</v>
      </c>
      <c r="S573" s="330">
        <v>16000</v>
      </c>
      <c r="T573" s="326" t="s">
        <v>170</v>
      </c>
      <c r="U573" s="326" t="s">
        <v>2040</v>
      </c>
      <c r="V573" s="332">
        <v>55010</v>
      </c>
      <c r="W573" s="333" t="s">
        <v>2917</v>
      </c>
    </row>
    <row r="574" spans="1:23" ht="45" customHeight="1" x14ac:dyDescent="0.4">
      <c r="A574" s="323">
        <v>510212</v>
      </c>
      <c r="B574" s="324" t="s">
        <v>4712</v>
      </c>
      <c r="C574" s="325" t="s">
        <v>1330</v>
      </c>
      <c r="D574" s="326" t="s">
        <v>2084</v>
      </c>
      <c r="E574" s="327" t="s">
        <v>1331</v>
      </c>
      <c r="F574" s="327"/>
      <c r="G574" s="327" t="s">
        <v>1332</v>
      </c>
      <c r="H574" s="325" t="s">
        <v>2888</v>
      </c>
      <c r="I574" s="325" t="s">
        <v>228</v>
      </c>
      <c r="J574" s="328">
        <v>72</v>
      </c>
      <c r="K574" s="329">
        <v>7233</v>
      </c>
      <c r="L574" s="325" t="s">
        <v>2920</v>
      </c>
      <c r="M574" s="326" t="s">
        <v>226</v>
      </c>
      <c r="N574" s="326"/>
      <c r="O574" s="330">
        <v>182.86</v>
      </c>
      <c r="P574" s="330">
        <v>6.93</v>
      </c>
      <c r="Q574" s="331">
        <v>7233</v>
      </c>
      <c r="R574" s="330">
        <v>16000</v>
      </c>
      <c r="S574" s="330">
        <v>3500</v>
      </c>
      <c r="T574" s="326" t="s">
        <v>170</v>
      </c>
      <c r="U574" s="326" t="s">
        <v>2040</v>
      </c>
      <c r="V574" s="332" t="s">
        <v>228</v>
      </c>
      <c r="W574" s="333" t="s">
        <v>228</v>
      </c>
    </row>
    <row r="575" spans="1:23" ht="45" customHeight="1" x14ac:dyDescent="0.4">
      <c r="A575" s="323">
        <v>510264</v>
      </c>
      <c r="B575" s="324" t="s">
        <v>4713</v>
      </c>
      <c r="C575" s="325" t="s">
        <v>2921</v>
      </c>
      <c r="D575" s="326" t="s">
        <v>2084</v>
      </c>
      <c r="E575" s="327" t="s">
        <v>1333</v>
      </c>
      <c r="F575" s="327" t="s">
        <v>4714</v>
      </c>
      <c r="G575" s="327" t="s">
        <v>1334</v>
      </c>
      <c r="H575" s="325" t="s">
        <v>2888</v>
      </c>
      <c r="I575" s="325" t="s">
        <v>228</v>
      </c>
      <c r="J575" s="328">
        <v>53</v>
      </c>
      <c r="K575" s="329">
        <v>5307</v>
      </c>
      <c r="L575" s="325" t="s">
        <v>3859</v>
      </c>
      <c r="M575" s="326" t="s">
        <v>226</v>
      </c>
      <c r="N575" s="326"/>
      <c r="O575" s="330">
        <v>143.51</v>
      </c>
      <c r="P575" s="330">
        <v>0.99</v>
      </c>
      <c r="Q575" s="331">
        <v>5307</v>
      </c>
      <c r="R575" s="330">
        <v>10000</v>
      </c>
      <c r="S575" s="330">
        <v>1500</v>
      </c>
      <c r="T575" s="326" t="s">
        <v>170</v>
      </c>
      <c r="U575" s="326" t="s">
        <v>2040</v>
      </c>
      <c r="V575" s="332">
        <v>53070</v>
      </c>
      <c r="W575" s="333" t="s">
        <v>2922</v>
      </c>
    </row>
    <row r="576" spans="1:23" ht="45" customHeight="1" x14ac:dyDescent="0.4">
      <c r="A576" s="323">
        <v>510275</v>
      </c>
      <c r="B576" s="324" t="s">
        <v>4715</v>
      </c>
      <c r="C576" s="325" t="s">
        <v>1335</v>
      </c>
      <c r="D576" s="326" t="s">
        <v>2084</v>
      </c>
      <c r="E576" s="327" t="s">
        <v>1336</v>
      </c>
      <c r="F576" s="327" t="s">
        <v>3860</v>
      </c>
      <c r="G576" s="327" t="s">
        <v>1337</v>
      </c>
      <c r="H576" s="325" t="s">
        <v>2888</v>
      </c>
      <c r="I576" s="325" t="s">
        <v>228</v>
      </c>
      <c r="J576" s="328">
        <v>55</v>
      </c>
      <c r="K576" s="329">
        <v>5500</v>
      </c>
      <c r="L576" s="325" t="s">
        <v>2916</v>
      </c>
      <c r="M576" s="326" t="s">
        <v>226</v>
      </c>
      <c r="N576" s="326"/>
      <c r="O576" s="330">
        <v>868</v>
      </c>
      <c r="P576" s="330">
        <v>11.52</v>
      </c>
      <c r="Q576" s="331">
        <v>5500</v>
      </c>
      <c r="R576" s="330">
        <v>600000</v>
      </c>
      <c r="S576" s="330">
        <v>16000</v>
      </c>
      <c r="T576" s="326" t="s">
        <v>170</v>
      </c>
      <c r="U576" s="326" t="s">
        <v>2040</v>
      </c>
      <c r="V576" s="332">
        <v>55010</v>
      </c>
      <c r="W576" s="333" t="s">
        <v>2917</v>
      </c>
    </row>
    <row r="577" spans="1:23" ht="45" customHeight="1" x14ac:dyDescent="0.4">
      <c r="A577" s="323">
        <v>510278</v>
      </c>
      <c r="B577" s="324" t="s">
        <v>4716</v>
      </c>
      <c r="C577" s="325" t="s">
        <v>2923</v>
      </c>
      <c r="D577" s="326" t="s">
        <v>2084</v>
      </c>
      <c r="E577" s="327" t="s">
        <v>1338</v>
      </c>
      <c r="F577" s="327"/>
      <c r="G577" s="327" t="s">
        <v>1339</v>
      </c>
      <c r="H577" s="325" t="s">
        <v>2888</v>
      </c>
      <c r="I577" s="325" t="s">
        <v>228</v>
      </c>
      <c r="J577" s="328">
        <v>55</v>
      </c>
      <c r="K577" s="329">
        <v>5500</v>
      </c>
      <c r="L577" s="325" t="s">
        <v>2916</v>
      </c>
      <c r="M577" s="326" t="s">
        <v>226</v>
      </c>
      <c r="N577" s="326"/>
      <c r="O577" s="330">
        <v>868</v>
      </c>
      <c r="P577" s="330">
        <v>11.52</v>
      </c>
      <c r="Q577" s="331">
        <v>5500</v>
      </c>
      <c r="R577" s="330">
        <v>600000</v>
      </c>
      <c r="S577" s="330">
        <v>16000</v>
      </c>
      <c r="T577" s="326" t="s">
        <v>170</v>
      </c>
      <c r="U577" s="326" t="s">
        <v>2040</v>
      </c>
      <c r="V577" s="332">
        <v>55010</v>
      </c>
      <c r="W577" s="333" t="s">
        <v>2917</v>
      </c>
    </row>
    <row r="578" spans="1:23" ht="45" customHeight="1" x14ac:dyDescent="0.4">
      <c r="A578" s="323">
        <v>510342</v>
      </c>
      <c r="B578" s="324" t="s">
        <v>4717</v>
      </c>
      <c r="C578" s="325" t="s">
        <v>2924</v>
      </c>
      <c r="D578" s="326" t="s">
        <v>2084</v>
      </c>
      <c r="E578" s="327" t="s">
        <v>1340</v>
      </c>
      <c r="F578" s="327"/>
      <c r="G578" s="327" t="s">
        <v>1341</v>
      </c>
      <c r="H578" s="325" t="s">
        <v>2888</v>
      </c>
      <c r="I578" s="325" t="s">
        <v>228</v>
      </c>
      <c r="J578" s="328">
        <v>55</v>
      </c>
      <c r="K578" s="329">
        <v>5500</v>
      </c>
      <c r="L578" s="325" t="s">
        <v>2916</v>
      </c>
      <c r="M578" s="326" t="s">
        <v>226</v>
      </c>
      <c r="N578" s="326"/>
      <c r="O578" s="330">
        <v>868</v>
      </c>
      <c r="P578" s="330">
        <v>11.52</v>
      </c>
      <c r="Q578" s="331">
        <v>5500</v>
      </c>
      <c r="R578" s="330">
        <v>600000</v>
      </c>
      <c r="S578" s="330">
        <v>16000</v>
      </c>
      <c r="T578" s="326" t="s">
        <v>170</v>
      </c>
      <c r="U578" s="326" t="s">
        <v>2040</v>
      </c>
      <c r="V578" s="332">
        <v>55010</v>
      </c>
      <c r="W578" s="333" t="s">
        <v>2917</v>
      </c>
    </row>
    <row r="579" spans="1:23" ht="45" customHeight="1" x14ac:dyDescent="0.4">
      <c r="A579" s="323">
        <v>510411</v>
      </c>
      <c r="B579" s="324" t="s">
        <v>4718</v>
      </c>
      <c r="C579" s="325" t="s">
        <v>2925</v>
      </c>
      <c r="D579" s="326" t="s">
        <v>2084</v>
      </c>
      <c r="E579" s="327" t="s">
        <v>3737</v>
      </c>
      <c r="F579" s="327"/>
      <c r="G579" s="327" t="s">
        <v>1342</v>
      </c>
      <c r="H579" s="325" t="s">
        <v>2888</v>
      </c>
      <c r="I579" s="325" t="s">
        <v>228</v>
      </c>
      <c r="J579" s="328">
        <v>55</v>
      </c>
      <c r="K579" s="329">
        <v>5500</v>
      </c>
      <c r="L579" s="325" t="s">
        <v>2916</v>
      </c>
      <c r="M579" s="326" t="s">
        <v>226</v>
      </c>
      <c r="N579" s="326"/>
      <c r="O579" s="330">
        <v>868</v>
      </c>
      <c r="P579" s="330">
        <v>11.52</v>
      </c>
      <c r="Q579" s="331">
        <v>5500</v>
      </c>
      <c r="R579" s="330">
        <v>600000</v>
      </c>
      <c r="S579" s="330">
        <v>16000</v>
      </c>
      <c r="T579" s="326" t="s">
        <v>170</v>
      </c>
      <c r="U579" s="326" t="s">
        <v>2040</v>
      </c>
      <c r="V579" s="332">
        <v>55010</v>
      </c>
      <c r="W579" s="333" t="s">
        <v>2917</v>
      </c>
    </row>
    <row r="580" spans="1:23" ht="45" customHeight="1" x14ac:dyDescent="0.4">
      <c r="A580" s="323">
        <v>510672</v>
      </c>
      <c r="B580" s="324" t="s">
        <v>4719</v>
      </c>
      <c r="C580" s="325" t="s">
        <v>1343</v>
      </c>
      <c r="D580" s="326" t="s">
        <v>2084</v>
      </c>
      <c r="E580" s="327" t="s">
        <v>1344</v>
      </c>
      <c r="F580" s="327"/>
      <c r="G580" s="327" t="s">
        <v>1341</v>
      </c>
      <c r="H580" s="325" t="s">
        <v>2888</v>
      </c>
      <c r="I580" s="325" t="s">
        <v>228</v>
      </c>
      <c r="J580" s="328">
        <v>55</v>
      </c>
      <c r="K580" s="329">
        <v>5500</v>
      </c>
      <c r="L580" s="325" t="s">
        <v>2916</v>
      </c>
      <c r="M580" s="326" t="s">
        <v>226</v>
      </c>
      <c r="N580" s="326"/>
      <c r="O580" s="330">
        <v>868</v>
      </c>
      <c r="P580" s="330">
        <v>11.52</v>
      </c>
      <c r="Q580" s="331">
        <v>5500</v>
      </c>
      <c r="R580" s="330">
        <v>600000</v>
      </c>
      <c r="S580" s="330">
        <v>16000</v>
      </c>
      <c r="T580" s="326" t="s">
        <v>170</v>
      </c>
      <c r="U580" s="326" t="s">
        <v>2040</v>
      </c>
      <c r="V580" s="332">
        <v>55010</v>
      </c>
      <c r="W580" s="333">
        <v>55010</v>
      </c>
    </row>
    <row r="581" spans="1:23" ht="45" customHeight="1" x14ac:dyDescent="0.4">
      <c r="A581" s="323">
        <v>510712</v>
      </c>
      <c r="B581" s="324" t="s">
        <v>4720</v>
      </c>
      <c r="C581" s="325" t="s">
        <v>2926</v>
      </c>
      <c r="D581" s="326" t="s">
        <v>2084</v>
      </c>
      <c r="E581" s="327" t="s">
        <v>1345</v>
      </c>
      <c r="F581" s="327"/>
      <c r="G581" s="327" t="s">
        <v>1346</v>
      </c>
      <c r="H581" s="325" t="s">
        <v>2888</v>
      </c>
      <c r="I581" s="325" t="s">
        <v>228</v>
      </c>
      <c r="J581" s="328">
        <v>55</v>
      </c>
      <c r="K581" s="329">
        <v>5500</v>
      </c>
      <c r="L581" s="325" t="s">
        <v>2916</v>
      </c>
      <c r="M581" s="326" t="s">
        <v>226</v>
      </c>
      <c r="N581" s="326"/>
      <c r="O581" s="330">
        <v>868</v>
      </c>
      <c r="P581" s="330">
        <v>11.52</v>
      </c>
      <c r="Q581" s="331">
        <v>5500</v>
      </c>
      <c r="R581" s="330">
        <v>600000</v>
      </c>
      <c r="S581" s="330">
        <v>16000</v>
      </c>
      <c r="T581" s="326" t="s">
        <v>170</v>
      </c>
      <c r="U581" s="326" t="s">
        <v>2040</v>
      </c>
      <c r="V581" s="332">
        <v>55010</v>
      </c>
      <c r="W581" s="333" t="s">
        <v>2917</v>
      </c>
    </row>
    <row r="582" spans="1:23" ht="45" customHeight="1" x14ac:dyDescent="0.4">
      <c r="A582" s="323">
        <v>510915</v>
      </c>
      <c r="B582" s="324" t="s">
        <v>4721</v>
      </c>
      <c r="C582" s="325" t="s">
        <v>1347</v>
      </c>
      <c r="D582" s="326" t="s">
        <v>2084</v>
      </c>
      <c r="E582" s="327" t="s">
        <v>4722</v>
      </c>
      <c r="F582" s="327" t="s">
        <v>4723</v>
      </c>
      <c r="G582" s="327" t="s">
        <v>1348</v>
      </c>
      <c r="H582" s="325" t="s">
        <v>2888</v>
      </c>
      <c r="I582" s="325" t="s">
        <v>228</v>
      </c>
      <c r="J582" s="328">
        <v>61</v>
      </c>
      <c r="K582" s="329">
        <v>6100</v>
      </c>
      <c r="L582" s="325" t="s">
        <v>2408</v>
      </c>
      <c r="M582" s="326" t="s">
        <v>226</v>
      </c>
      <c r="N582" s="326"/>
      <c r="O582" s="330">
        <v>587</v>
      </c>
      <c r="P582" s="330">
        <v>4.5999999999999996</v>
      </c>
      <c r="Q582" s="331">
        <v>6100</v>
      </c>
      <c r="R582" s="330">
        <v>1000000</v>
      </c>
      <c r="S582" s="330">
        <v>8400</v>
      </c>
      <c r="T582" s="326" t="s">
        <v>170</v>
      </c>
      <c r="U582" s="326" t="s">
        <v>2040</v>
      </c>
      <c r="V582" s="332">
        <v>61050</v>
      </c>
      <c r="W582" s="333">
        <v>51016</v>
      </c>
    </row>
    <row r="583" spans="1:23" ht="45" customHeight="1" x14ac:dyDescent="0.4">
      <c r="A583" s="323">
        <v>530155</v>
      </c>
      <c r="B583" s="324" t="s">
        <v>4724</v>
      </c>
      <c r="C583" s="325" t="s">
        <v>2927</v>
      </c>
      <c r="D583" s="326" t="s">
        <v>2084</v>
      </c>
      <c r="E583" s="327" t="s">
        <v>1349</v>
      </c>
      <c r="F583" s="327"/>
      <c r="G583" s="327" t="s">
        <v>1350</v>
      </c>
      <c r="H583" s="325" t="s">
        <v>2888</v>
      </c>
      <c r="I583" s="325" t="s">
        <v>228</v>
      </c>
      <c r="J583" s="328">
        <v>53</v>
      </c>
      <c r="K583" s="329">
        <v>5302</v>
      </c>
      <c r="L583" s="325" t="s">
        <v>2915</v>
      </c>
      <c r="M583" s="326" t="s">
        <v>226</v>
      </c>
      <c r="N583" s="326"/>
      <c r="O583" s="330">
        <v>459.02</v>
      </c>
      <c r="P583" s="330">
        <v>12.12</v>
      </c>
      <c r="Q583" s="331">
        <v>5302</v>
      </c>
      <c r="R583" s="330">
        <v>400000</v>
      </c>
      <c r="S583" s="330">
        <v>7500</v>
      </c>
      <c r="T583" s="326" t="s">
        <v>170</v>
      </c>
      <c r="U583" s="326" t="s">
        <v>2040</v>
      </c>
      <c r="V583" s="332">
        <v>53020</v>
      </c>
      <c r="W583" s="333">
        <v>53020</v>
      </c>
    </row>
    <row r="584" spans="1:23" ht="45" customHeight="1" x14ac:dyDescent="0.4">
      <c r="A584" s="323">
        <v>530156</v>
      </c>
      <c r="B584" s="324" t="s">
        <v>4725</v>
      </c>
      <c r="C584" s="325" t="s">
        <v>2928</v>
      </c>
      <c r="D584" s="326" t="s">
        <v>2084</v>
      </c>
      <c r="E584" s="327" t="s">
        <v>1351</v>
      </c>
      <c r="F584" s="327"/>
      <c r="G584" s="327" t="s">
        <v>1352</v>
      </c>
      <c r="H584" s="325" t="s">
        <v>2888</v>
      </c>
      <c r="I584" s="325" t="s">
        <v>228</v>
      </c>
      <c r="J584" s="328">
        <v>53</v>
      </c>
      <c r="K584" s="329">
        <v>5302</v>
      </c>
      <c r="L584" s="325" t="s">
        <v>2915</v>
      </c>
      <c r="M584" s="326" t="s">
        <v>226</v>
      </c>
      <c r="N584" s="326"/>
      <c r="O584" s="330">
        <v>459.02</v>
      </c>
      <c r="P584" s="330">
        <v>12.12</v>
      </c>
      <c r="Q584" s="331">
        <v>5302</v>
      </c>
      <c r="R584" s="330">
        <v>400000</v>
      </c>
      <c r="S584" s="330">
        <v>7500</v>
      </c>
      <c r="T584" s="326" t="s">
        <v>170</v>
      </c>
      <c r="U584" s="326" t="s">
        <v>2040</v>
      </c>
      <c r="V584" s="332">
        <v>53020</v>
      </c>
      <c r="W584" s="333">
        <v>53050</v>
      </c>
    </row>
    <row r="585" spans="1:23" ht="45" customHeight="1" x14ac:dyDescent="0.4">
      <c r="A585" s="323">
        <v>530411</v>
      </c>
      <c r="B585" s="324" t="s">
        <v>4726</v>
      </c>
      <c r="C585" s="325" t="s">
        <v>2929</v>
      </c>
      <c r="D585" s="326" t="s">
        <v>2084</v>
      </c>
      <c r="E585" s="327" t="s">
        <v>1353</v>
      </c>
      <c r="F585" s="327"/>
      <c r="G585" s="327" t="s">
        <v>1354</v>
      </c>
      <c r="H585" s="325" t="s">
        <v>2888</v>
      </c>
      <c r="I585" s="325" t="s">
        <v>228</v>
      </c>
      <c r="J585" s="328">
        <v>31</v>
      </c>
      <c r="K585" s="329">
        <v>3103</v>
      </c>
      <c r="L585" s="325" t="s">
        <v>2930</v>
      </c>
      <c r="M585" s="326" t="s">
        <v>226</v>
      </c>
      <c r="N585" s="326"/>
      <c r="O585" s="330">
        <v>731.78</v>
      </c>
      <c r="P585" s="330">
        <v>19.57</v>
      </c>
      <c r="Q585" s="331">
        <v>3103</v>
      </c>
      <c r="R585" s="330">
        <v>62000</v>
      </c>
      <c r="S585" s="330">
        <v>12000</v>
      </c>
      <c r="T585" s="326" t="s">
        <v>170</v>
      </c>
      <c r="U585" s="326" t="s">
        <v>2040</v>
      </c>
      <c r="V585" s="332">
        <v>31066</v>
      </c>
      <c r="W585" s="333">
        <v>31039</v>
      </c>
    </row>
    <row r="586" spans="1:23" ht="45" customHeight="1" x14ac:dyDescent="0.4">
      <c r="A586" s="323">
        <v>530412</v>
      </c>
      <c r="B586" s="324" t="s">
        <v>4727</v>
      </c>
      <c r="C586" s="325" t="s">
        <v>2931</v>
      </c>
      <c r="D586" s="326" t="s">
        <v>2084</v>
      </c>
      <c r="E586" s="327" t="s">
        <v>1355</v>
      </c>
      <c r="F586" s="327"/>
      <c r="G586" s="327" t="s">
        <v>1356</v>
      </c>
      <c r="H586" s="325" t="s">
        <v>2888</v>
      </c>
      <c r="I586" s="325" t="s">
        <v>228</v>
      </c>
      <c r="J586" s="328">
        <v>31</v>
      </c>
      <c r="K586" s="329">
        <v>3104</v>
      </c>
      <c r="L586" s="325" t="s">
        <v>2932</v>
      </c>
      <c r="M586" s="326" t="s">
        <v>226</v>
      </c>
      <c r="N586" s="326"/>
      <c r="O586" s="330">
        <v>1016.3</v>
      </c>
      <c r="P586" s="330">
        <v>28.59</v>
      </c>
      <c r="Q586" s="331">
        <v>3104</v>
      </c>
      <c r="R586" s="330">
        <v>270</v>
      </c>
      <c r="S586" s="330">
        <v>270</v>
      </c>
      <c r="T586" s="326" t="s">
        <v>170</v>
      </c>
      <c r="U586" s="326" t="s">
        <v>2040</v>
      </c>
      <c r="V586" s="332">
        <v>31067</v>
      </c>
      <c r="W586" s="333">
        <v>31040</v>
      </c>
    </row>
    <row r="587" spans="1:23" ht="45" customHeight="1" x14ac:dyDescent="0.4">
      <c r="A587" s="323">
        <v>530511</v>
      </c>
      <c r="B587" s="324" t="s">
        <v>4728</v>
      </c>
      <c r="C587" s="325" t="s">
        <v>2933</v>
      </c>
      <c r="D587" s="326" t="s">
        <v>2084</v>
      </c>
      <c r="E587" s="327" t="s">
        <v>1357</v>
      </c>
      <c r="F587" s="327"/>
      <c r="G587" s="327" t="s">
        <v>1358</v>
      </c>
      <c r="H587" s="325" t="s">
        <v>2888</v>
      </c>
      <c r="I587" s="325" t="s">
        <v>228</v>
      </c>
      <c r="J587" s="328">
        <v>53</v>
      </c>
      <c r="K587" s="329">
        <v>5302</v>
      </c>
      <c r="L587" s="325" t="s">
        <v>2915</v>
      </c>
      <c r="M587" s="326" t="s">
        <v>226</v>
      </c>
      <c r="N587" s="326"/>
      <c r="O587" s="330">
        <v>459.02</v>
      </c>
      <c r="P587" s="330">
        <v>12.12</v>
      </c>
      <c r="Q587" s="331">
        <v>5302</v>
      </c>
      <c r="R587" s="330">
        <v>400000</v>
      </c>
      <c r="S587" s="330">
        <v>7500</v>
      </c>
      <c r="T587" s="326" t="s">
        <v>170</v>
      </c>
      <c r="U587" s="326" t="s">
        <v>2040</v>
      </c>
      <c r="V587" s="332">
        <v>53020</v>
      </c>
      <c r="W587" s="333">
        <v>53020</v>
      </c>
    </row>
    <row r="588" spans="1:23" ht="45" customHeight="1" x14ac:dyDescent="0.4">
      <c r="A588" s="323">
        <v>530602</v>
      </c>
      <c r="B588" s="324" t="s">
        <v>4729</v>
      </c>
      <c r="C588" s="325" t="s">
        <v>2934</v>
      </c>
      <c r="D588" s="326" t="s">
        <v>2084</v>
      </c>
      <c r="E588" s="327" t="s">
        <v>1359</v>
      </c>
      <c r="F588" s="327" t="s">
        <v>4730</v>
      </c>
      <c r="G588" s="327" t="s">
        <v>1360</v>
      </c>
      <c r="H588" s="325" t="s">
        <v>2888</v>
      </c>
      <c r="I588" s="325" t="s">
        <v>228</v>
      </c>
      <c r="J588" s="328">
        <v>53</v>
      </c>
      <c r="K588" s="329">
        <v>5306</v>
      </c>
      <c r="L588" s="325" t="s">
        <v>2889</v>
      </c>
      <c r="M588" s="326" t="s">
        <v>226</v>
      </c>
      <c r="N588" s="326"/>
      <c r="O588" s="330">
        <v>206.55</v>
      </c>
      <c r="P588" s="330">
        <v>3.47</v>
      </c>
      <c r="Q588" s="331">
        <v>5306</v>
      </c>
      <c r="R588" s="330">
        <v>310000</v>
      </c>
      <c r="S588" s="330">
        <v>10000</v>
      </c>
      <c r="T588" s="326" t="s">
        <v>170</v>
      </c>
      <c r="U588" s="326" t="s">
        <v>2040</v>
      </c>
      <c r="V588" s="332">
        <v>53060</v>
      </c>
      <c r="W588" s="333">
        <v>51077</v>
      </c>
    </row>
    <row r="589" spans="1:23" ht="45" customHeight="1" x14ac:dyDescent="0.4">
      <c r="A589" s="323">
        <v>530634</v>
      </c>
      <c r="B589" s="324" t="s">
        <v>4731</v>
      </c>
      <c r="C589" s="325" t="s">
        <v>2935</v>
      </c>
      <c r="D589" s="326" t="s">
        <v>2084</v>
      </c>
      <c r="E589" s="327" t="s">
        <v>1361</v>
      </c>
      <c r="F589" s="327" t="s">
        <v>4732</v>
      </c>
      <c r="G589" s="327" t="s">
        <v>1362</v>
      </c>
      <c r="H589" s="325" t="s">
        <v>2888</v>
      </c>
      <c r="I589" s="325" t="s">
        <v>228</v>
      </c>
      <c r="J589" s="328">
        <v>53</v>
      </c>
      <c r="K589" s="329">
        <v>5304</v>
      </c>
      <c r="L589" s="325" t="s">
        <v>2936</v>
      </c>
      <c r="M589" s="326" t="s">
        <v>226</v>
      </c>
      <c r="N589" s="326"/>
      <c r="O589" s="330">
        <v>795</v>
      </c>
      <c r="P589" s="330">
        <v>4.32</v>
      </c>
      <c r="Q589" s="331">
        <v>5304</v>
      </c>
      <c r="R589" s="330">
        <v>50000</v>
      </c>
      <c r="S589" s="330">
        <v>2800</v>
      </c>
      <c r="T589" s="326" t="s">
        <v>170</v>
      </c>
      <c r="U589" s="326" t="s">
        <v>2040</v>
      </c>
      <c r="V589" s="332">
        <v>53040</v>
      </c>
      <c r="W589" s="333" t="s">
        <v>2937</v>
      </c>
    </row>
    <row r="590" spans="1:23" ht="45" customHeight="1" x14ac:dyDescent="0.4">
      <c r="A590" s="323">
        <v>530800</v>
      </c>
      <c r="B590" s="324" t="s">
        <v>4733</v>
      </c>
      <c r="C590" s="325" t="s">
        <v>3738</v>
      </c>
      <c r="D590" s="326" t="s">
        <v>2084</v>
      </c>
      <c r="E590" s="327" t="s">
        <v>4734</v>
      </c>
      <c r="F590" s="327"/>
      <c r="G590" s="327" t="s">
        <v>383</v>
      </c>
      <c r="H590" s="325"/>
      <c r="I590" s="325"/>
      <c r="J590" s="328">
        <v>74</v>
      </c>
      <c r="K590" s="329">
        <v>7441</v>
      </c>
      <c r="L590" s="325" t="s">
        <v>3043</v>
      </c>
      <c r="M590" s="326" t="s">
        <v>226</v>
      </c>
      <c r="N590" s="326"/>
      <c r="O590" s="330">
        <v>401.17</v>
      </c>
      <c r="P590" s="330">
        <v>4.07</v>
      </c>
      <c r="Q590" s="331">
        <v>7441</v>
      </c>
      <c r="R590" s="330">
        <v>152000</v>
      </c>
      <c r="S590" s="330">
        <v>23000</v>
      </c>
      <c r="T590" s="326" t="s">
        <v>170</v>
      </c>
      <c r="U590" s="326" t="s">
        <v>2040</v>
      </c>
      <c r="V590" s="332"/>
      <c r="W590" s="333"/>
    </row>
    <row r="591" spans="1:23" ht="45" customHeight="1" x14ac:dyDescent="0.4">
      <c r="A591" s="323">
        <v>540242</v>
      </c>
      <c r="B591" s="324" t="s">
        <v>4735</v>
      </c>
      <c r="C591" s="325" t="s">
        <v>2938</v>
      </c>
      <c r="D591" s="326" t="s">
        <v>2084</v>
      </c>
      <c r="E591" s="327" t="s">
        <v>1363</v>
      </c>
      <c r="F591" s="327"/>
      <c r="G591" s="327" t="s">
        <v>1364</v>
      </c>
      <c r="H591" s="325" t="s">
        <v>2888</v>
      </c>
      <c r="I591" s="325" t="s">
        <v>228</v>
      </c>
      <c r="J591" s="328">
        <v>53</v>
      </c>
      <c r="K591" s="329">
        <v>5302</v>
      </c>
      <c r="L591" s="325" t="s">
        <v>2915</v>
      </c>
      <c r="M591" s="326" t="s">
        <v>226</v>
      </c>
      <c r="N591" s="326"/>
      <c r="O591" s="330">
        <v>459.02</v>
      </c>
      <c r="P591" s="330">
        <v>12.12</v>
      </c>
      <c r="Q591" s="331">
        <v>5302</v>
      </c>
      <c r="R591" s="330">
        <v>400000</v>
      </c>
      <c r="S591" s="330">
        <v>7500</v>
      </c>
      <c r="T591" s="326" t="s">
        <v>170</v>
      </c>
      <c r="U591" s="326" t="s">
        <v>2040</v>
      </c>
      <c r="V591" s="332">
        <v>53020</v>
      </c>
      <c r="W591" s="333">
        <v>53020</v>
      </c>
    </row>
    <row r="592" spans="1:23" ht="45" customHeight="1" x14ac:dyDescent="0.4">
      <c r="A592" s="323">
        <v>540243</v>
      </c>
      <c r="B592" s="324" t="s">
        <v>4736</v>
      </c>
      <c r="C592" s="325" t="s">
        <v>2939</v>
      </c>
      <c r="D592" s="326" t="s">
        <v>2084</v>
      </c>
      <c r="E592" s="327" t="s">
        <v>1365</v>
      </c>
      <c r="F592" s="327" t="s">
        <v>4737</v>
      </c>
      <c r="G592" s="327" t="s">
        <v>1366</v>
      </c>
      <c r="H592" s="325" t="s">
        <v>2888</v>
      </c>
      <c r="I592" s="325" t="s">
        <v>228</v>
      </c>
      <c r="J592" s="328">
        <v>54</v>
      </c>
      <c r="K592" s="329">
        <v>5400</v>
      </c>
      <c r="L592" s="325" t="s">
        <v>2940</v>
      </c>
      <c r="M592" s="326" t="s">
        <v>226</v>
      </c>
      <c r="N592" s="326"/>
      <c r="O592" s="330">
        <v>780.5</v>
      </c>
      <c r="P592" s="330">
        <v>10.88</v>
      </c>
      <c r="Q592" s="331">
        <v>5400</v>
      </c>
      <c r="R592" s="330">
        <v>100000</v>
      </c>
      <c r="S592" s="330">
        <v>9200</v>
      </c>
      <c r="T592" s="326" t="s">
        <v>170</v>
      </c>
      <c r="U592" s="326" t="s">
        <v>2040</v>
      </c>
      <c r="V592" s="332">
        <v>54010</v>
      </c>
      <c r="W592" s="333">
        <v>54010</v>
      </c>
    </row>
    <row r="593" spans="1:23" ht="45" customHeight="1" x14ac:dyDescent="0.4">
      <c r="A593" s="323">
        <v>550101</v>
      </c>
      <c r="B593" s="324" t="s">
        <v>4738</v>
      </c>
      <c r="C593" s="325" t="s">
        <v>2941</v>
      </c>
      <c r="D593" s="326" t="s">
        <v>2084</v>
      </c>
      <c r="E593" s="327" t="s">
        <v>1367</v>
      </c>
      <c r="F593" s="327"/>
      <c r="G593" s="327" t="s">
        <v>1368</v>
      </c>
      <c r="H593" s="325" t="s">
        <v>2888</v>
      </c>
      <c r="I593" s="325" t="s">
        <v>228</v>
      </c>
      <c r="J593" s="328">
        <v>55</v>
      </c>
      <c r="K593" s="329">
        <v>5501</v>
      </c>
      <c r="L593" s="325" t="s">
        <v>3861</v>
      </c>
      <c r="M593" s="326" t="s">
        <v>226</v>
      </c>
      <c r="N593" s="326"/>
      <c r="O593" s="330">
        <v>461.42</v>
      </c>
      <c r="P593" s="330">
        <v>8.58</v>
      </c>
      <c r="Q593" s="331">
        <v>5501</v>
      </c>
      <c r="R593" s="330">
        <v>82000</v>
      </c>
      <c r="S593" s="330">
        <v>24000</v>
      </c>
      <c r="T593" s="326" t="s">
        <v>170</v>
      </c>
      <c r="U593" s="326" t="s">
        <v>2040</v>
      </c>
      <c r="V593" s="332">
        <v>55020</v>
      </c>
      <c r="W593" s="333">
        <v>55020</v>
      </c>
    </row>
    <row r="594" spans="1:23" ht="45" customHeight="1" x14ac:dyDescent="0.4">
      <c r="A594" s="323">
        <v>550145</v>
      </c>
      <c r="B594" s="324" t="s">
        <v>4739</v>
      </c>
      <c r="C594" s="325" t="s">
        <v>2942</v>
      </c>
      <c r="D594" s="326" t="s">
        <v>2084</v>
      </c>
      <c r="E594" s="327" t="s">
        <v>1369</v>
      </c>
      <c r="F594" s="327"/>
      <c r="G594" s="327" t="s">
        <v>1370</v>
      </c>
      <c r="H594" s="325" t="s">
        <v>2888</v>
      </c>
      <c r="I594" s="325" t="s">
        <v>228</v>
      </c>
      <c r="J594" s="328">
        <v>55</v>
      </c>
      <c r="K594" s="329">
        <v>5500</v>
      </c>
      <c r="L594" s="325" t="s">
        <v>2916</v>
      </c>
      <c r="M594" s="326" t="s">
        <v>226</v>
      </c>
      <c r="N594" s="326"/>
      <c r="O594" s="330">
        <v>868</v>
      </c>
      <c r="P594" s="330">
        <v>11.52</v>
      </c>
      <c r="Q594" s="331">
        <v>5500</v>
      </c>
      <c r="R594" s="330">
        <v>600000</v>
      </c>
      <c r="S594" s="330">
        <v>16000</v>
      </c>
      <c r="T594" s="326" t="s">
        <v>170</v>
      </c>
      <c r="U594" s="326" t="s">
        <v>2040</v>
      </c>
      <c r="V594" s="332">
        <v>55013</v>
      </c>
      <c r="W594" s="333">
        <v>55030</v>
      </c>
    </row>
    <row r="595" spans="1:23" ht="45" customHeight="1" x14ac:dyDescent="0.4">
      <c r="A595" s="323">
        <v>550147</v>
      </c>
      <c r="B595" s="324" t="s">
        <v>4740</v>
      </c>
      <c r="C595" s="325" t="s">
        <v>2943</v>
      </c>
      <c r="D595" s="326" t="s">
        <v>2084</v>
      </c>
      <c r="E595" s="327" t="s">
        <v>1371</v>
      </c>
      <c r="F595" s="327"/>
      <c r="G595" s="327" t="s">
        <v>1372</v>
      </c>
      <c r="H595" s="325" t="s">
        <v>2888</v>
      </c>
      <c r="I595" s="325" t="s">
        <v>228</v>
      </c>
      <c r="J595" s="328">
        <v>55</v>
      </c>
      <c r="K595" s="329">
        <v>5500</v>
      </c>
      <c r="L595" s="325" t="s">
        <v>2916</v>
      </c>
      <c r="M595" s="326" t="s">
        <v>226</v>
      </c>
      <c r="N595" s="326"/>
      <c r="O595" s="330">
        <v>868</v>
      </c>
      <c r="P595" s="330">
        <v>11.52</v>
      </c>
      <c r="Q595" s="331">
        <v>5500</v>
      </c>
      <c r="R595" s="330">
        <v>600000</v>
      </c>
      <c r="S595" s="330">
        <v>16000</v>
      </c>
      <c r="T595" s="326" t="s">
        <v>170</v>
      </c>
      <c r="U595" s="326" t="s">
        <v>2040</v>
      </c>
      <c r="V595" s="332">
        <v>55014</v>
      </c>
      <c r="W595" s="333" t="s">
        <v>2917</v>
      </c>
    </row>
    <row r="596" spans="1:23" ht="45" customHeight="1" x14ac:dyDescent="0.4">
      <c r="A596" s="323">
        <v>610100</v>
      </c>
      <c r="B596" s="324" t="s">
        <v>4741</v>
      </c>
      <c r="C596" s="325" t="s">
        <v>2944</v>
      </c>
      <c r="D596" s="326" t="s">
        <v>2084</v>
      </c>
      <c r="E596" s="327" t="s">
        <v>4742</v>
      </c>
      <c r="F596" s="327"/>
      <c r="G596" s="327" t="s">
        <v>612</v>
      </c>
      <c r="H596" s="325" t="e">
        <v>#N/A</v>
      </c>
      <c r="I596" s="325" t="e">
        <v>#N/A</v>
      </c>
      <c r="J596" s="328">
        <v>61</v>
      </c>
      <c r="K596" s="329">
        <v>6100</v>
      </c>
      <c r="L596" s="325" t="s">
        <v>2408</v>
      </c>
      <c r="M596" s="326" t="s">
        <v>226</v>
      </c>
      <c r="N596" s="326" t="s">
        <v>2232</v>
      </c>
      <c r="O596" s="330">
        <v>587</v>
      </c>
      <c r="P596" s="330">
        <v>4.5999999999999996</v>
      </c>
      <c r="Q596" s="331">
        <v>6100</v>
      </c>
      <c r="R596" s="330">
        <v>1000000</v>
      </c>
      <c r="S596" s="330">
        <v>8400</v>
      </c>
      <c r="T596" s="326" t="s">
        <v>170</v>
      </c>
      <c r="U596" s="326" t="s">
        <v>2040</v>
      </c>
      <c r="V596" s="332"/>
      <c r="W596" s="333">
        <v>61010</v>
      </c>
    </row>
    <row r="597" spans="1:23" ht="45" customHeight="1" x14ac:dyDescent="0.4">
      <c r="A597" s="323">
        <v>610111</v>
      </c>
      <c r="B597" s="324" t="s">
        <v>299</v>
      </c>
      <c r="C597" s="325" t="s">
        <v>2945</v>
      </c>
      <c r="D597" s="326" t="s">
        <v>2084</v>
      </c>
      <c r="E597" s="327" t="s">
        <v>1373</v>
      </c>
      <c r="F597" s="327" t="s">
        <v>4743</v>
      </c>
      <c r="G597" s="327" t="s">
        <v>1374</v>
      </c>
      <c r="H597" s="325" t="s">
        <v>2946</v>
      </c>
      <c r="I597" s="325" t="s">
        <v>228</v>
      </c>
      <c r="J597" s="328">
        <v>61</v>
      </c>
      <c r="K597" s="329">
        <v>6100</v>
      </c>
      <c r="L597" s="325" t="s">
        <v>2408</v>
      </c>
      <c r="M597" s="326" t="s">
        <v>226</v>
      </c>
      <c r="N597" s="326"/>
      <c r="O597" s="330">
        <v>587</v>
      </c>
      <c r="P597" s="330">
        <v>4.5999999999999996</v>
      </c>
      <c r="Q597" s="331">
        <v>6100</v>
      </c>
      <c r="R597" s="330">
        <v>1000000</v>
      </c>
      <c r="S597" s="330">
        <v>8400</v>
      </c>
      <c r="T597" s="326" t="s">
        <v>170</v>
      </c>
      <c r="U597" s="326" t="s">
        <v>2040</v>
      </c>
      <c r="V597" s="332">
        <v>61050</v>
      </c>
      <c r="W597" s="333">
        <v>61040</v>
      </c>
    </row>
    <row r="598" spans="1:23" ht="45" customHeight="1" x14ac:dyDescent="0.4">
      <c r="A598" s="323">
        <v>610112</v>
      </c>
      <c r="B598" s="324" t="s">
        <v>4744</v>
      </c>
      <c r="C598" s="325" t="s">
        <v>1375</v>
      </c>
      <c r="D598" s="326" t="s">
        <v>2084</v>
      </c>
      <c r="E598" s="327" t="s">
        <v>1376</v>
      </c>
      <c r="F598" s="327" t="s">
        <v>4745</v>
      </c>
      <c r="G598" s="327" t="s">
        <v>1377</v>
      </c>
      <c r="H598" s="325" t="s">
        <v>2946</v>
      </c>
      <c r="I598" s="325" t="s">
        <v>228</v>
      </c>
      <c r="J598" s="328">
        <v>61</v>
      </c>
      <c r="K598" s="329">
        <v>6100</v>
      </c>
      <c r="L598" s="325" t="s">
        <v>2408</v>
      </c>
      <c r="M598" s="326" t="s">
        <v>226</v>
      </c>
      <c r="N598" s="326" t="s">
        <v>2232</v>
      </c>
      <c r="O598" s="330">
        <v>587</v>
      </c>
      <c r="P598" s="330">
        <v>4.5999999999999996</v>
      </c>
      <c r="Q598" s="331">
        <v>6100</v>
      </c>
      <c r="R598" s="330">
        <v>1000000</v>
      </c>
      <c r="S598" s="330">
        <v>8400</v>
      </c>
      <c r="T598" s="326" t="s">
        <v>170</v>
      </c>
      <c r="U598" s="326" t="s">
        <v>2040</v>
      </c>
      <c r="V598" s="332">
        <v>61075</v>
      </c>
      <c r="W598" s="333">
        <v>61040</v>
      </c>
    </row>
    <row r="599" spans="1:23" ht="45" customHeight="1" x14ac:dyDescent="0.4">
      <c r="A599" s="323">
        <v>610119</v>
      </c>
      <c r="B599" s="324" t="s">
        <v>4746</v>
      </c>
      <c r="C599" s="325" t="s">
        <v>2947</v>
      </c>
      <c r="D599" s="326" t="s">
        <v>2084</v>
      </c>
      <c r="E599" s="327" t="s">
        <v>1378</v>
      </c>
      <c r="F599" s="327"/>
      <c r="G599" s="327" t="s">
        <v>1379</v>
      </c>
      <c r="H599" s="325" t="s">
        <v>2900</v>
      </c>
      <c r="I599" s="325" t="s">
        <v>228</v>
      </c>
      <c r="J599" s="328">
        <v>61</v>
      </c>
      <c r="K599" s="329">
        <v>6100</v>
      </c>
      <c r="L599" s="325" t="s">
        <v>2408</v>
      </c>
      <c r="M599" s="326" t="s">
        <v>226</v>
      </c>
      <c r="N599" s="326" t="s">
        <v>2232</v>
      </c>
      <c r="O599" s="330">
        <v>587</v>
      </c>
      <c r="P599" s="330">
        <v>4.5999999999999996</v>
      </c>
      <c r="Q599" s="331">
        <v>6100</v>
      </c>
      <c r="R599" s="330">
        <v>1000000</v>
      </c>
      <c r="S599" s="330">
        <v>8400</v>
      </c>
      <c r="T599" s="326" t="s">
        <v>170</v>
      </c>
      <c r="U599" s="326" t="s">
        <v>2040</v>
      </c>
      <c r="V599" s="332">
        <v>61050</v>
      </c>
      <c r="W599" s="333">
        <v>61010</v>
      </c>
    </row>
    <row r="600" spans="1:23" ht="45" customHeight="1" x14ac:dyDescent="0.4">
      <c r="A600" s="323">
        <v>610121</v>
      </c>
      <c r="B600" s="324" t="s">
        <v>4747</v>
      </c>
      <c r="C600" s="325" t="s">
        <v>2948</v>
      </c>
      <c r="D600" s="326" t="s">
        <v>2084</v>
      </c>
      <c r="E600" s="327" t="s">
        <v>4748</v>
      </c>
      <c r="F600" s="327" t="s">
        <v>4749</v>
      </c>
      <c r="G600" s="327" t="s">
        <v>1380</v>
      </c>
      <c r="H600" s="325" t="s">
        <v>2085</v>
      </c>
      <c r="I600" s="325" t="s">
        <v>228</v>
      </c>
      <c r="J600" s="328">
        <v>61</v>
      </c>
      <c r="K600" s="329">
        <v>6100</v>
      </c>
      <c r="L600" s="325" t="s">
        <v>2408</v>
      </c>
      <c r="M600" s="326" t="s">
        <v>226</v>
      </c>
      <c r="N600" s="326"/>
      <c r="O600" s="330">
        <v>587</v>
      </c>
      <c r="P600" s="330">
        <v>4.5999999999999996</v>
      </c>
      <c r="Q600" s="331">
        <v>6100</v>
      </c>
      <c r="R600" s="330">
        <v>1000000</v>
      </c>
      <c r="S600" s="330">
        <v>8400</v>
      </c>
      <c r="T600" s="326" t="s">
        <v>170</v>
      </c>
      <c r="U600" s="326" t="s">
        <v>2040</v>
      </c>
      <c r="V600" s="332">
        <v>61050</v>
      </c>
      <c r="W600" s="333">
        <v>61010</v>
      </c>
    </row>
    <row r="601" spans="1:23" ht="45" customHeight="1" x14ac:dyDescent="0.4">
      <c r="A601" s="323">
        <v>610122</v>
      </c>
      <c r="B601" s="324" t="s">
        <v>4750</v>
      </c>
      <c r="C601" s="325" t="s">
        <v>2949</v>
      </c>
      <c r="D601" s="326" t="s">
        <v>2084</v>
      </c>
      <c r="E601" s="327" t="s">
        <v>1381</v>
      </c>
      <c r="F601" s="327"/>
      <c r="G601" s="327" t="s">
        <v>1382</v>
      </c>
      <c r="H601" s="325" t="s">
        <v>2085</v>
      </c>
      <c r="I601" s="325" t="s">
        <v>228</v>
      </c>
      <c r="J601" s="328">
        <v>61</v>
      </c>
      <c r="K601" s="329">
        <v>6100</v>
      </c>
      <c r="L601" s="325" t="s">
        <v>2408</v>
      </c>
      <c r="M601" s="326" t="s">
        <v>226</v>
      </c>
      <c r="N601" s="326" t="s">
        <v>2232</v>
      </c>
      <c r="O601" s="330">
        <v>587</v>
      </c>
      <c r="P601" s="330">
        <v>4.5999999999999996</v>
      </c>
      <c r="Q601" s="331">
        <v>6100</v>
      </c>
      <c r="R601" s="330">
        <v>1000000</v>
      </c>
      <c r="S601" s="330">
        <v>8400</v>
      </c>
      <c r="T601" s="326" t="s">
        <v>170</v>
      </c>
      <c r="U601" s="326" t="s">
        <v>2040</v>
      </c>
      <c r="V601" s="332">
        <v>61050</v>
      </c>
      <c r="W601" s="333">
        <v>61010</v>
      </c>
    </row>
    <row r="602" spans="1:23" ht="45" customHeight="1" x14ac:dyDescent="0.4">
      <c r="A602" s="323">
        <v>610123</v>
      </c>
      <c r="B602" s="324" t="s">
        <v>4751</v>
      </c>
      <c r="C602" s="325" t="s">
        <v>2950</v>
      </c>
      <c r="D602" s="326" t="s">
        <v>2084</v>
      </c>
      <c r="E602" s="327" t="s">
        <v>1383</v>
      </c>
      <c r="F602" s="327"/>
      <c r="G602" s="327" t="s">
        <v>1384</v>
      </c>
      <c r="H602" s="325" t="s">
        <v>2570</v>
      </c>
      <c r="I602" s="325" t="s">
        <v>228</v>
      </c>
      <c r="J602" s="328">
        <v>61</v>
      </c>
      <c r="K602" s="329">
        <v>6100</v>
      </c>
      <c r="L602" s="325" t="s">
        <v>2408</v>
      </c>
      <c r="M602" s="326" t="s">
        <v>226</v>
      </c>
      <c r="N602" s="326" t="s">
        <v>2232</v>
      </c>
      <c r="O602" s="330">
        <v>587</v>
      </c>
      <c r="P602" s="330">
        <v>4.5999999999999996</v>
      </c>
      <c r="Q602" s="331">
        <v>6100</v>
      </c>
      <c r="R602" s="330">
        <v>1000000</v>
      </c>
      <c r="S602" s="330">
        <v>8400</v>
      </c>
      <c r="T602" s="326" t="s">
        <v>170</v>
      </c>
      <c r="U602" s="326" t="s">
        <v>2040</v>
      </c>
      <c r="V602" s="332">
        <v>61050</v>
      </c>
      <c r="W602" s="333">
        <v>61010</v>
      </c>
    </row>
    <row r="603" spans="1:23" ht="45" customHeight="1" x14ac:dyDescent="0.4">
      <c r="A603" s="323">
        <v>610124</v>
      </c>
      <c r="B603" s="324" t="s">
        <v>4752</v>
      </c>
      <c r="C603" s="325" t="s">
        <v>2951</v>
      </c>
      <c r="D603" s="326" t="s">
        <v>2084</v>
      </c>
      <c r="E603" s="327" t="s">
        <v>4753</v>
      </c>
      <c r="F603" s="327" t="s">
        <v>4754</v>
      </c>
      <c r="G603" s="327" t="s">
        <v>3739</v>
      </c>
      <c r="H603" s="325" t="s">
        <v>228</v>
      </c>
      <c r="I603" s="325" t="s">
        <v>228</v>
      </c>
      <c r="J603" s="328">
        <v>61</v>
      </c>
      <c r="K603" s="329">
        <v>6101</v>
      </c>
      <c r="L603" s="325" t="s">
        <v>2952</v>
      </c>
      <c r="M603" s="326" t="s">
        <v>226</v>
      </c>
      <c r="N603" s="326" t="s">
        <v>2232</v>
      </c>
      <c r="O603" s="330">
        <v>599</v>
      </c>
      <c r="P603" s="330">
        <v>4.08</v>
      </c>
      <c r="Q603" s="331">
        <v>6101</v>
      </c>
      <c r="R603" s="330">
        <v>110000</v>
      </c>
      <c r="S603" s="330">
        <v>18000</v>
      </c>
      <c r="T603" s="326" t="s">
        <v>170</v>
      </c>
      <c r="U603" s="326" t="s">
        <v>2040</v>
      </c>
      <c r="V603" s="332">
        <v>14185</v>
      </c>
      <c r="W603" s="333">
        <v>61073</v>
      </c>
    </row>
    <row r="604" spans="1:23" ht="45" customHeight="1" x14ac:dyDescent="0.4">
      <c r="A604" s="323">
        <v>610125</v>
      </c>
      <c r="B604" s="324" t="s">
        <v>4755</v>
      </c>
      <c r="C604" s="325" t="s">
        <v>2953</v>
      </c>
      <c r="D604" s="326" t="s">
        <v>2084</v>
      </c>
      <c r="E604" s="327" t="s">
        <v>1385</v>
      </c>
      <c r="F604" s="327" t="s">
        <v>4754</v>
      </c>
      <c r="G604" s="327" t="s">
        <v>1386</v>
      </c>
      <c r="H604" s="325" t="s">
        <v>228</v>
      </c>
      <c r="I604" s="325" t="s">
        <v>228</v>
      </c>
      <c r="J604" s="328">
        <v>61</v>
      </c>
      <c r="K604" s="329">
        <v>6101</v>
      </c>
      <c r="L604" s="325" t="s">
        <v>2952</v>
      </c>
      <c r="M604" s="326" t="s">
        <v>226</v>
      </c>
      <c r="N604" s="326"/>
      <c r="O604" s="330">
        <v>599</v>
      </c>
      <c r="P604" s="330">
        <v>4.08</v>
      </c>
      <c r="Q604" s="331">
        <v>6101</v>
      </c>
      <c r="R604" s="330">
        <v>110000</v>
      </c>
      <c r="S604" s="330">
        <v>18000</v>
      </c>
      <c r="T604" s="326" t="s">
        <v>170</v>
      </c>
      <c r="U604" s="326" t="s">
        <v>2040</v>
      </c>
      <c r="V604" s="332">
        <v>14186</v>
      </c>
      <c r="W604" s="333">
        <v>61073</v>
      </c>
    </row>
    <row r="605" spans="1:23" ht="45" customHeight="1" x14ac:dyDescent="0.4">
      <c r="A605" s="323">
        <v>610127</v>
      </c>
      <c r="B605" s="324" t="s">
        <v>4756</v>
      </c>
      <c r="C605" s="325" t="s">
        <v>2954</v>
      </c>
      <c r="D605" s="326" t="s">
        <v>2084</v>
      </c>
      <c r="E605" s="327" t="s">
        <v>4757</v>
      </c>
      <c r="F605" s="327"/>
      <c r="G605" s="327" t="s">
        <v>1387</v>
      </c>
      <c r="H605" s="325" t="s">
        <v>2570</v>
      </c>
      <c r="I605" s="325" t="s">
        <v>228</v>
      </c>
      <c r="J605" s="328">
        <v>61</v>
      </c>
      <c r="K605" s="329">
        <v>6100</v>
      </c>
      <c r="L605" s="325" t="s">
        <v>2408</v>
      </c>
      <c r="M605" s="326" t="s">
        <v>226</v>
      </c>
      <c r="N605" s="326" t="s">
        <v>2232</v>
      </c>
      <c r="O605" s="330">
        <v>587</v>
      </c>
      <c r="P605" s="330">
        <v>4.5999999999999996</v>
      </c>
      <c r="Q605" s="331">
        <v>6100</v>
      </c>
      <c r="R605" s="330">
        <v>1000000</v>
      </c>
      <c r="S605" s="330">
        <v>8400</v>
      </c>
      <c r="T605" s="326" t="s">
        <v>170</v>
      </c>
      <c r="U605" s="326" t="s">
        <v>2040</v>
      </c>
      <c r="V605" s="332">
        <v>61050</v>
      </c>
      <c r="W605" s="333">
        <v>61010</v>
      </c>
    </row>
    <row r="606" spans="1:23" ht="45" customHeight="1" x14ac:dyDescent="0.4">
      <c r="A606" s="323">
        <v>610128</v>
      </c>
      <c r="B606" s="324" t="s">
        <v>4758</v>
      </c>
      <c r="C606" s="325" t="s">
        <v>2955</v>
      </c>
      <c r="D606" s="326" t="s">
        <v>2084</v>
      </c>
      <c r="E606" s="327" t="s">
        <v>1388</v>
      </c>
      <c r="F606" s="327" t="s">
        <v>4759</v>
      </c>
      <c r="G606" s="327" t="s">
        <v>1389</v>
      </c>
      <c r="H606" s="325" t="s">
        <v>2956</v>
      </c>
      <c r="I606" s="325" t="s">
        <v>228</v>
      </c>
      <c r="J606" s="328">
        <v>61</v>
      </c>
      <c r="K606" s="329">
        <v>6100</v>
      </c>
      <c r="L606" s="325" t="s">
        <v>2408</v>
      </c>
      <c r="M606" s="326" t="s">
        <v>226</v>
      </c>
      <c r="N606" s="326" t="s">
        <v>2232</v>
      </c>
      <c r="O606" s="330">
        <v>587</v>
      </c>
      <c r="P606" s="330">
        <v>4.5999999999999996</v>
      </c>
      <c r="Q606" s="331">
        <v>6100</v>
      </c>
      <c r="R606" s="330">
        <v>1000000</v>
      </c>
      <c r="S606" s="330">
        <v>8400</v>
      </c>
      <c r="T606" s="326" t="s">
        <v>170</v>
      </c>
      <c r="U606" s="326" t="s">
        <v>2040</v>
      </c>
      <c r="V606" s="332">
        <v>61050</v>
      </c>
      <c r="W606" s="333">
        <v>61010</v>
      </c>
    </row>
    <row r="607" spans="1:23" ht="45" customHeight="1" x14ac:dyDescent="0.4">
      <c r="A607" s="323">
        <v>610129</v>
      </c>
      <c r="B607" s="324" t="s">
        <v>4760</v>
      </c>
      <c r="C607" s="325" t="s">
        <v>2957</v>
      </c>
      <c r="D607" s="326" t="s">
        <v>2084</v>
      </c>
      <c r="E607" s="327" t="s">
        <v>3740</v>
      </c>
      <c r="F607" s="327"/>
      <c r="G607" s="327" t="s">
        <v>1390</v>
      </c>
      <c r="H607" s="325" t="s">
        <v>2078</v>
      </c>
      <c r="I607" s="325" t="s">
        <v>228</v>
      </c>
      <c r="J607" s="328">
        <v>61</v>
      </c>
      <c r="K607" s="329">
        <v>6100</v>
      </c>
      <c r="L607" s="325" t="s">
        <v>2408</v>
      </c>
      <c r="M607" s="326" t="s">
        <v>226</v>
      </c>
      <c r="N607" s="326" t="s">
        <v>2232</v>
      </c>
      <c r="O607" s="330">
        <v>587</v>
      </c>
      <c r="P607" s="330">
        <v>4.5999999999999996</v>
      </c>
      <c r="Q607" s="331">
        <v>6100</v>
      </c>
      <c r="R607" s="330">
        <v>1000000</v>
      </c>
      <c r="S607" s="330">
        <v>8400</v>
      </c>
      <c r="T607" s="326" t="s">
        <v>170</v>
      </c>
      <c r="U607" s="326" t="s">
        <v>2040</v>
      </c>
      <c r="V607" s="332">
        <v>61050</v>
      </c>
      <c r="W607" s="333">
        <v>61010</v>
      </c>
    </row>
    <row r="608" spans="1:23" ht="45" customHeight="1" x14ac:dyDescent="0.4">
      <c r="A608" s="323">
        <v>610142</v>
      </c>
      <c r="B608" s="324" t="s">
        <v>4761</v>
      </c>
      <c r="C608" s="325" t="s">
        <v>2958</v>
      </c>
      <c r="D608" s="326" t="s">
        <v>2084</v>
      </c>
      <c r="E608" s="327" t="s">
        <v>1391</v>
      </c>
      <c r="F608" s="327" t="s">
        <v>4762</v>
      </c>
      <c r="G608" s="327" t="s">
        <v>1392</v>
      </c>
      <c r="H608" s="325" t="s">
        <v>2085</v>
      </c>
      <c r="I608" s="325" t="s">
        <v>228</v>
      </c>
      <c r="J608" s="328">
        <v>61</v>
      </c>
      <c r="K608" s="329">
        <v>6100</v>
      </c>
      <c r="L608" s="325" t="s">
        <v>2408</v>
      </c>
      <c r="M608" s="326" t="s">
        <v>226</v>
      </c>
      <c r="N608" s="326"/>
      <c r="O608" s="330">
        <v>587</v>
      </c>
      <c r="P608" s="330">
        <v>4.5999999999999996</v>
      </c>
      <c r="Q608" s="331">
        <v>6100</v>
      </c>
      <c r="R608" s="330">
        <v>1000000</v>
      </c>
      <c r="S608" s="330">
        <v>8400</v>
      </c>
      <c r="T608" s="326" t="s">
        <v>170</v>
      </c>
      <c r="U608" s="326" t="s">
        <v>2040</v>
      </c>
      <c r="V608" s="332">
        <v>61050</v>
      </c>
      <c r="W608" s="333">
        <v>61010</v>
      </c>
    </row>
    <row r="609" spans="1:23" ht="45" customHeight="1" x14ac:dyDescent="0.4">
      <c r="A609" s="323">
        <v>610144</v>
      </c>
      <c r="B609" s="324" t="s">
        <v>4763</v>
      </c>
      <c r="C609" s="325" t="s">
        <v>2959</v>
      </c>
      <c r="D609" s="326" t="s">
        <v>2084</v>
      </c>
      <c r="E609" s="327" t="s">
        <v>1393</v>
      </c>
      <c r="F609" s="327"/>
      <c r="G609" s="327" t="s">
        <v>1394</v>
      </c>
      <c r="H609" s="325" t="s">
        <v>2078</v>
      </c>
      <c r="I609" s="325" t="s">
        <v>228</v>
      </c>
      <c r="J609" s="328">
        <v>61</v>
      </c>
      <c r="K609" s="329">
        <v>6100</v>
      </c>
      <c r="L609" s="325" t="s">
        <v>2408</v>
      </c>
      <c r="M609" s="326" t="s">
        <v>226</v>
      </c>
      <c r="N609" s="326" t="s">
        <v>2232</v>
      </c>
      <c r="O609" s="330">
        <v>587</v>
      </c>
      <c r="P609" s="330">
        <v>4.5999999999999996</v>
      </c>
      <c r="Q609" s="331">
        <v>6100</v>
      </c>
      <c r="R609" s="330">
        <v>1000000</v>
      </c>
      <c r="S609" s="330">
        <v>8400</v>
      </c>
      <c r="T609" s="326" t="s">
        <v>170</v>
      </c>
      <c r="U609" s="326" t="s">
        <v>2040</v>
      </c>
      <c r="V609" s="332">
        <v>61050</v>
      </c>
      <c r="W609" s="333">
        <v>61010</v>
      </c>
    </row>
    <row r="610" spans="1:23" ht="45" customHeight="1" x14ac:dyDescent="0.4">
      <c r="A610" s="323">
        <v>610241</v>
      </c>
      <c r="B610" s="324" t="s">
        <v>4764</v>
      </c>
      <c r="C610" s="325" t="s">
        <v>2960</v>
      </c>
      <c r="D610" s="326" t="s">
        <v>2084</v>
      </c>
      <c r="E610" s="327" t="s">
        <v>1395</v>
      </c>
      <c r="F610" s="327"/>
      <c r="G610" s="327" t="s">
        <v>1396</v>
      </c>
      <c r="H610" s="325" t="s">
        <v>2956</v>
      </c>
      <c r="I610" s="325" t="s">
        <v>2900</v>
      </c>
      <c r="J610" s="328">
        <v>61</v>
      </c>
      <c r="K610" s="329">
        <v>6100</v>
      </c>
      <c r="L610" s="325" t="s">
        <v>2408</v>
      </c>
      <c r="M610" s="326" t="s">
        <v>226</v>
      </c>
      <c r="N610" s="326"/>
      <c r="O610" s="330">
        <v>587</v>
      </c>
      <c r="P610" s="330">
        <v>4.5999999999999996</v>
      </c>
      <c r="Q610" s="331">
        <v>6100</v>
      </c>
      <c r="R610" s="330">
        <v>1000000</v>
      </c>
      <c r="S610" s="330">
        <v>8400</v>
      </c>
      <c r="T610" s="326" t="s">
        <v>170</v>
      </c>
      <c r="U610" s="326" t="s">
        <v>2040</v>
      </c>
      <c r="V610" s="332">
        <v>61050</v>
      </c>
      <c r="W610" s="333">
        <v>61010</v>
      </c>
    </row>
    <row r="611" spans="1:23" ht="45" customHeight="1" x14ac:dyDescent="0.4">
      <c r="A611" s="323">
        <v>610243</v>
      </c>
      <c r="B611" s="324" t="s">
        <v>4765</v>
      </c>
      <c r="C611" s="325" t="s">
        <v>2961</v>
      </c>
      <c r="D611" s="326" t="s">
        <v>2084</v>
      </c>
      <c r="E611" s="327" t="s">
        <v>4766</v>
      </c>
      <c r="F611" s="327"/>
      <c r="G611" s="327" t="s">
        <v>1397</v>
      </c>
      <c r="H611" s="325" t="s">
        <v>2570</v>
      </c>
      <c r="I611" s="325" t="s">
        <v>228</v>
      </c>
      <c r="J611" s="328">
        <v>61</v>
      </c>
      <c r="K611" s="329">
        <v>6102</v>
      </c>
      <c r="L611" s="325" t="s">
        <v>2962</v>
      </c>
      <c r="M611" s="326" t="s">
        <v>226</v>
      </c>
      <c r="N611" s="326" t="s">
        <v>2232</v>
      </c>
      <c r="O611" s="330">
        <v>455</v>
      </c>
      <c r="P611" s="330">
        <v>5.75</v>
      </c>
      <c r="Q611" s="331">
        <v>6102</v>
      </c>
      <c r="R611" s="330">
        <v>150000</v>
      </c>
      <c r="S611" s="330">
        <v>15000</v>
      </c>
      <c r="T611" s="326" t="s">
        <v>170</v>
      </c>
      <c r="U611" s="326" t="s">
        <v>2040</v>
      </c>
      <c r="V611" s="332" t="s">
        <v>2963</v>
      </c>
      <c r="W611" s="333" t="s">
        <v>2964</v>
      </c>
    </row>
    <row r="612" spans="1:23" ht="45" customHeight="1" x14ac:dyDescent="0.4">
      <c r="A612" s="323">
        <v>610249</v>
      </c>
      <c r="B612" s="324" t="s">
        <v>4767</v>
      </c>
      <c r="C612" s="325" t="s">
        <v>2965</v>
      </c>
      <c r="D612" s="326" t="s">
        <v>2084</v>
      </c>
      <c r="E612" s="327" t="s">
        <v>4768</v>
      </c>
      <c r="F612" s="327"/>
      <c r="G612" s="327" t="s">
        <v>1398</v>
      </c>
      <c r="H612" s="325" t="s">
        <v>2570</v>
      </c>
      <c r="I612" s="325" t="s">
        <v>228</v>
      </c>
      <c r="J612" s="328">
        <v>61</v>
      </c>
      <c r="K612" s="329">
        <v>6100</v>
      </c>
      <c r="L612" s="325" t="s">
        <v>2408</v>
      </c>
      <c r="M612" s="326" t="s">
        <v>226</v>
      </c>
      <c r="N612" s="326" t="s">
        <v>2232</v>
      </c>
      <c r="O612" s="330">
        <v>587</v>
      </c>
      <c r="P612" s="330">
        <v>4.5999999999999996</v>
      </c>
      <c r="Q612" s="331">
        <v>6100</v>
      </c>
      <c r="R612" s="330">
        <v>1000000</v>
      </c>
      <c r="S612" s="330">
        <v>8400</v>
      </c>
      <c r="T612" s="326" t="s">
        <v>170</v>
      </c>
      <c r="U612" s="326" t="s">
        <v>2040</v>
      </c>
      <c r="V612" s="332">
        <v>61050</v>
      </c>
      <c r="W612" s="333">
        <v>61070</v>
      </c>
    </row>
    <row r="613" spans="1:23" ht="45" customHeight="1" x14ac:dyDescent="0.4">
      <c r="A613" s="323">
        <v>610281</v>
      </c>
      <c r="B613" s="324" t="s">
        <v>4769</v>
      </c>
      <c r="C613" s="325" t="s">
        <v>2966</v>
      </c>
      <c r="D613" s="326" t="s">
        <v>2084</v>
      </c>
      <c r="E613" s="327" t="s">
        <v>1399</v>
      </c>
      <c r="F613" s="327"/>
      <c r="G613" s="327" t="s">
        <v>1400</v>
      </c>
      <c r="H613" s="325" t="s">
        <v>2570</v>
      </c>
      <c r="I613" s="325" t="s">
        <v>228</v>
      </c>
      <c r="J613" s="328">
        <v>61</v>
      </c>
      <c r="K613" s="329">
        <v>6100</v>
      </c>
      <c r="L613" s="325" t="s">
        <v>2408</v>
      </c>
      <c r="M613" s="326" t="s">
        <v>226</v>
      </c>
      <c r="N613" s="326" t="s">
        <v>2232</v>
      </c>
      <c r="O613" s="330">
        <v>587</v>
      </c>
      <c r="P613" s="330">
        <v>4.5999999999999996</v>
      </c>
      <c r="Q613" s="331">
        <v>6100</v>
      </c>
      <c r="R613" s="330">
        <v>1000000</v>
      </c>
      <c r="S613" s="330">
        <v>8400</v>
      </c>
      <c r="T613" s="326" t="s">
        <v>170</v>
      </c>
      <c r="U613" s="326" t="s">
        <v>2040</v>
      </c>
      <c r="V613" s="332">
        <v>61050</v>
      </c>
      <c r="W613" s="333">
        <v>61070</v>
      </c>
    </row>
    <row r="614" spans="1:23" ht="45" customHeight="1" x14ac:dyDescent="0.4">
      <c r="A614" s="323">
        <v>610282</v>
      </c>
      <c r="B614" s="324" t="s">
        <v>4770</v>
      </c>
      <c r="C614" s="325" t="s">
        <v>4771</v>
      </c>
      <c r="D614" s="326" t="s">
        <v>2084</v>
      </c>
      <c r="E614" s="327" t="s">
        <v>4772</v>
      </c>
      <c r="F614" s="327"/>
      <c r="G614" s="327" t="s">
        <v>1401</v>
      </c>
      <c r="H614" s="325" t="s">
        <v>2570</v>
      </c>
      <c r="I614" s="325" t="s">
        <v>228</v>
      </c>
      <c r="J614" s="328">
        <v>61</v>
      </c>
      <c r="K614" s="329">
        <v>6100</v>
      </c>
      <c r="L614" s="325" t="s">
        <v>2408</v>
      </c>
      <c r="M614" s="326" t="s">
        <v>226</v>
      </c>
      <c r="N614" s="326" t="s">
        <v>2232</v>
      </c>
      <c r="O614" s="330">
        <v>587</v>
      </c>
      <c r="P614" s="330">
        <v>4.5999999999999996</v>
      </c>
      <c r="Q614" s="331">
        <v>6100</v>
      </c>
      <c r="R614" s="330">
        <v>1000000</v>
      </c>
      <c r="S614" s="330">
        <v>8400</v>
      </c>
      <c r="T614" s="326" t="s">
        <v>170</v>
      </c>
      <c r="U614" s="326" t="s">
        <v>2040</v>
      </c>
      <c r="V614" s="332">
        <v>61050</v>
      </c>
      <c r="W614" s="333">
        <v>61070</v>
      </c>
    </row>
    <row r="615" spans="1:23" ht="45" customHeight="1" x14ac:dyDescent="0.4">
      <c r="A615" s="323">
        <v>610284</v>
      </c>
      <c r="B615" s="324" t="s">
        <v>4773</v>
      </c>
      <c r="C615" s="325" t="s">
        <v>4774</v>
      </c>
      <c r="D615" s="326" t="s">
        <v>2084</v>
      </c>
      <c r="E615" s="327" t="s">
        <v>4775</v>
      </c>
      <c r="F615" s="327"/>
      <c r="G615" s="327" t="s">
        <v>1402</v>
      </c>
      <c r="H615" s="325" t="s">
        <v>2570</v>
      </c>
      <c r="I615" s="325" t="s">
        <v>228</v>
      </c>
      <c r="J615" s="328">
        <v>61</v>
      </c>
      <c r="K615" s="329">
        <v>6100</v>
      </c>
      <c r="L615" s="325" t="s">
        <v>2408</v>
      </c>
      <c r="M615" s="326" t="s">
        <v>226</v>
      </c>
      <c r="N615" s="326" t="s">
        <v>2232</v>
      </c>
      <c r="O615" s="330">
        <v>587</v>
      </c>
      <c r="P615" s="330">
        <v>4.5999999999999996</v>
      </c>
      <c r="Q615" s="331">
        <v>6100</v>
      </c>
      <c r="R615" s="330">
        <v>1000000</v>
      </c>
      <c r="S615" s="330">
        <v>8400</v>
      </c>
      <c r="T615" s="326" t="s">
        <v>170</v>
      </c>
      <c r="U615" s="326" t="s">
        <v>2040</v>
      </c>
      <c r="V615" s="332">
        <v>61050</v>
      </c>
      <c r="W615" s="333">
        <v>61070</v>
      </c>
    </row>
    <row r="616" spans="1:23" ht="45" customHeight="1" x14ac:dyDescent="0.4">
      <c r="A616" s="323">
        <v>610285</v>
      </c>
      <c r="B616" s="324" t="s">
        <v>4776</v>
      </c>
      <c r="C616" s="325" t="s">
        <v>2967</v>
      </c>
      <c r="D616" s="326" t="s">
        <v>2084</v>
      </c>
      <c r="E616" s="327" t="s">
        <v>1403</v>
      </c>
      <c r="F616" s="327"/>
      <c r="G616" s="327" t="s">
        <v>1404</v>
      </c>
      <c r="H616" s="325" t="s">
        <v>2570</v>
      </c>
      <c r="I616" s="325" t="s">
        <v>228</v>
      </c>
      <c r="J616" s="328">
        <v>61</v>
      </c>
      <c r="K616" s="329">
        <v>6100</v>
      </c>
      <c r="L616" s="325" t="s">
        <v>2408</v>
      </c>
      <c r="M616" s="326" t="s">
        <v>226</v>
      </c>
      <c r="N616" s="326" t="s">
        <v>2232</v>
      </c>
      <c r="O616" s="330">
        <v>587</v>
      </c>
      <c r="P616" s="330">
        <v>4.5999999999999996</v>
      </c>
      <c r="Q616" s="331">
        <v>6100</v>
      </c>
      <c r="R616" s="330">
        <v>1000000</v>
      </c>
      <c r="S616" s="330">
        <v>8400</v>
      </c>
      <c r="T616" s="326" t="s">
        <v>170</v>
      </c>
      <c r="U616" s="326" t="s">
        <v>2040</v>
      </c>
      <c r="V616" s="332">
        <v>61050</v>
      </c>
      <c r="W616" s="333">
        <v>61070</v>
      </c>
    </row>
    <row r="617" spans="1:23" ht="45" customHeight="1" x14ac:dyDescent="0.4">
      <c r="A617" s="323">
        <v>610286</v>
      </c>
      <c r="B617" s="324" t="s">
        <v>4777</v>
      </c>
      <c r="C617" s="325" t="s">
        <v>2968</v>
      </c>
      <c r="D617" s="326" t="s">
        <v>2084</v>
      </c>
      <c r="E617" s="327" t="s">
        <v>1405</v>
      </c>
      <c r="F617" s="327"/>
      <c r="G617" s="327" t="s">
        <v>1406</v>
      </c>
      <c r="H617" s="325" t="s">
        <v>2570</v>
      </c>
      <c r="I617" s="325" t="s">
        <v>228</v>
      </c>
      <c r="J617" s="328">
        <v>61</v>
      </c>
      <c r="K617" s="329">
        <v>6100</v>
      </c>
      <c r="L617" s="325" t="s">
        <v>2408</v>
      </c>
      <c r="M617" s="326" t="s">
        <v>226</v>
      </c>
      <c r="N617" s="326" t="s">
        <v>2232</v>
      </c>
      <c r="O617" s="330">
        <v>587</v>
      </c>
      <c r="P617" s="330">
        <v>4.5999999999999996</v>
      </c>
      <c r="Q617" s="331">
        <v>6100</v>
      </c>
      <c r="R617" s="330">
        <v>1000000</v>
      </c>
      <c r="S617" s="330">
        <v>8400</v>
      </c>
      <c r="T617" s="326" t="s">
        <v>170</v>
      </c>
      <c r="U617" s="326" t="s">
        <v>2040</v>
      </c>
      <c r="V617" s="332">
        <v>61050</v>
      </c>
      <c r="W617" s="333">
        <v>61070</v>
      </c>
    </row>
    <row r="618" spans="1:23" ht="45" customHeight="1" x14ac:dyDescent="0.4">
      <c r="A618" s="323">
        <v>610287</v>
      </c>
      <c r="B618" s="324" t="s">
        <v>4778</v>
      </c>
      <c r="C618" s="325" t="s">
        <v>2969</v>
      </c>
      <c r="D618" s="326" t="s">
        <v>2084</v>
      </c>
      <c r="E618" s="327" t="s">
        <v>4779</v>
      </c>
      <c r="F618" s="327"/>
      <c r="G618" s="327" t="s">
        <v>1407</v>
      </c>
      <c r="H618" s="325" t="s">
        <v>2570</v>
      </c>
      <c r="I618" s="325" t="s">
        <v>228</v>
      </c>
      <c r="J618" s="328">
        <v>61</v>
      </c>
      <c r="K618" s="329">
        <v>6100</v>
      </c>
      <c r="L618" s="325" t="s">
        <v>2408</v>
      </c>
      <c r="M618" s="326" t="s">
        <v>226</v>
      </c>
      <c r="N618" s="326" t="s">
        <v>2232</v>
      </c>
      <c r="O618" s="330">
        <v>587</v>
      </c>
      <c r="P618" s="330">
        <v>4.5999999999999996</v>
      </c>
      <c r="Q618" s="331">
        <v>6100</v>
      </c>
      <c r="R618" s="330">
        <v>1000000</v>
      </c>
      <c r="S618" s="330">
        <v>8400</v>
      </c>
      <c r="T618" s="326" t="s">
        <v>170</v>
      </c>
      <c r="U618" s="326" t="s">
        <v>2040</v>
      </c>
      <c r="V618" s="332">
        <v>61050</v>
      </c>
      <c r="W618" s="333">
        <v>61070</v>
      </c>
    </row>
    <row r="619" spans="1:23" ht="45" customHeight="1" x14ac:dyDescent="0.4">
      <c r="A619" s="323">
        <v>610311</v>
      </c>
      <c r="B619" s="324" t="s">
        <v>4780</v>
      </c>
      <c r="C619" s="325" t="s">
        <v>2970</v>
      </c>
      <c r="D619" s="326" t="s">
        <v>2084</v>
      </c>
      <c r="E619" s="327" t="s">
        <v>1408</v>
      </c>
      <c r="F619" s="327"/>
      <c r="G619" s="327" t="s">
        <v>1409</v>
      </c>
      <c r="H619" s="325" t="s">
        <v>2085</v>
      </c>
      <c r="I619" s="325" t="s">
        <v>228</v>
      </c>
      <c r="J619" s="328">
        <v>61</v>
      </c>
      <c r="K619" s="329">
        <v>6100</v>
      </c>
      <c r="L619" s="325" t="s">
        <v>2408</v>
      </c>
      <c r="M619" s="326" t="s">
        <v>226</v>
      </c>
      <c r="N619" s="326"/>
      <c r="O619" s="330">
        <v>587</v>
      </c>
      <c r="P619" s="330">
        <v>4.5999999999999996</v>
      </c>
      <c r="Q619" s="331">
        <v>6100</v>
      </c>
      <c r="R619" s="330">
        <v>1000000</v>
      </c>
      <c r="S619" s="330">
        <v>8400</v>
      </c>
      <c r="T619" s="326" t="s">
        <v>170</v>
      </c>
      <c r="U619" s="326" t="s">
        <v>2040</v>
      </c>
      <c r="V619" s="332">
        <v>61050</v>
      </c>
      <c r="W619" s="333">
        <v>61077</v>
      </c>
    </row>
    <row r="620" spans="1:23" ht="45" customHeight="1" x14ac:dyDescent="0.4">
      <c r="A620" s="323">
        <v>610332</v>
      </c>
      <c r="B620" s="324" t="s">
        <v>4781</v>
      </c>
      <c r="C620" s="325" t="s">
        <v>2971</v>
      </c>
      <c r="D620" s="326" t="s">
        <v>2084</v>
      </c>
      <c r="E620" s="327" t="s">
        <v>1410</v>
      </c>
      <c r="F620" s="327"/>
      <c r="G620" s="327" t="s">
        <v>1411</v>
      </c>
      <c r="H620" s="325" t="s">
        <v>2972</v>
      </c>
      <c r="I620" s="325" t="s">
        <v>228</v>
      </c>
      <c r="J620" s="328">
        <v>14</v>
      </c>
      <c r="K620" s="329">
        <v>1445</v>
      </c>
      <c r="L620" s="325" t="s">
        <v>2973</v>
      </c>
      <c r="M620" s="326" t="s">
        <v>226</v>
      </c>
      <c r="N620" s="326"/>
      <c r="O620" s="330">
        <v>725</v>
      </c>
      <c r="P620" s="330">
        <v>4.2699999999999996</v>
      </c>
      <c r="Q620" s="331">
        <v>1445</v>
      </c>
      <c r="R620" s="330">
        <v>23000</v>
      </c>
      <c r="S620" s="330">
        <v>3800</v>
      </c>
      <c r="T620" s="326" t="s">
        <v>170</v>
      </c>
      <c r="U620" s="326" t="s">
        <v>2040</v>
      </c>
      <c r="V620" s="332">
        <v>14126</v>
      </c>
      <c r="W620" s="333">
        <v>73076</v>
      </c>
    </row>
    <row r="621" spans="1:23" ht="45" customHeight="1" x14ac:dyDescent="0.4">
      <c r="A621" s="323">
        <v>610675</v>
      </c>
      <c r="B621" s="324" t="s">
        <v>4782</v>
      </c>
      <c r="C621" s="325" t="s">
        <v>2974</v>
      </c>
      <c r="D621" s="326" t="s">
        <v>2084</v>
      </c>
      <c r="E621" s="327" t="s">
        <v>1412</v>
      </c>
      <c r="F621" s="327"/>
      <c r="G621" s="327" t="s">
        <v>1413</v>
      </c>
      <c r="H621" s="325" t="s">
        <v>2085</v>
      </c>
      <c r="I621" s="325" t="s">
        <v>2975</v>
      </c>
      <c r="J621" s="328">
        <v>61</v>
      </c>
      <c r="K621" s="329">
        <v>6100</v>
      </c>
      <c r="L621" s="325" t="s">
        <v>2408</v>
      </c>
      <c r="M621" s="326" t="s">
        <v>226</v>
      </c>
      <c r="N621" s="326" t="s">
        <v>2232</v>
      </c>
      <c r="O621" s="330">
        <v>587</v>
      </c>
      <c r="P621" s="330">
        <v>4.5999999999999996</v>
      </c>
      <c r="Q621" s="331">
        <v>6100</v>
      </c>
      <c r="R621" s="330">
        <v>1000000</v>
      </c>
      <c r="S621" s="330">
        <v>8400</v>
      </c>
      <c r="T621" s="326" t="s">
        <v>170</v>
      </c>
      <c r="U621" s="326" t="s">
        <v>2040</v>
      </c>
      <c r="V621" s="332">
        <v>61050</v>
      </c>
      <c r="W621" s="333">
        <v>61010</v>
      </c>
    </row>
    <row r="622" spans="1:23" ht="45" customHeight="1" x14ac:dyDescent="0.4">
      <c r="A622" s="323">
        <v>610711</v>
      </c>
      <c r="B622" s="324" t="s">
        <v>4783</v>
      </c>
      <c r="C622" s="325" t="s">
        <v>2976</v>
      </c>
      <c r="D622" s="326" t="s">
        <v>2084</v>
      </c>
      <c r="E622" s="327" t="s">
        <v>1414</v>
      </c>
      <c r="F622" s="327"/>
      <c r="G622" s="327" t="s">
        <v>1415</v>
      </c>
      <c r="H622" s="325" t="s">
        <v>2085</v>
      </c>
      <c r="I622" s="325" t="s">
        <v>2136</v>
      </c>
      <c r="J622" s="328">
        <v>61</v>
      </c>
      <c r="K622" s="329">
        <v>6104</v>
      </c>
      <c r="L622" s="325" t="s">
        <v>2977</v>
      </c>
      <c r="M622" s="326" t="s">
        <v>226</v>
      </c>
      <c r="N622" s="326"/>
      <c r="O622" s="330">
        <v>1027</v>
      </c>
      <c r="P622" s="330">
        <v>4.0999999999999996</v>
      </c>
      <c r="Q622" s="331">
        <v>6104</v>
      </c>
      <c r="R622" s="330">
        <v>100000</v>
      </c>
      <c r="S622" s="330">
        <v>16000</v>
      </c>
      <c r="T622" s="326" t="s">
        <v>170</v>
      </c>
      <c r="U622" s="326" t="s">
        <v>2040</v>
      </c>
      <c r="V622" s="332">
        <v>13131</v>
      </c>
      <c r="W622" s="333">
        <v>14340</v>
      </c>
    </row>
    <row r="623" spans="1:23" ht="45" customHeight="1" x14ac:dyDescent="0.4">
      <c r="A623" s="323">
        <v>610717</v>
      </c>
      <c r="B623" s="324" t="s">
        <v>4784</v>
      </c>
      <c r="C623" s="325" t="s">
        <v>2978</v>
      </c>
      <c r="D623" s="326" t="s">
        <v>2084</v>
      </c>
      <c r="E623" s="327" t="s">
        <v>1416</v>
      </c>
      <c r="F623" s="327"/>
      <c r="G623" s="327" t="s">
        <v>1417</v>
      </c>
      <c r="H623" s="325" t="s">
        <v>2979</v>
      </c>
      <c r="I623" s="325" t="s">
        <v>228</v>
      </c>
      <c r="J623" s="328">
        <v>61</v>
      </c>
      <c r="K623" s="329">
        <v>6103</v>
      </c>
      <c r="L623" s="325" t="s">
        <v>2980</v>
      </c>
      <c r="M623" s="326" t="s">
        <v>226</v>
      </c>
      <c r="N623" s="326"/>
      <c r="O623" s="330">
        <v>140.30000000000001</v>
      </c>
      <c r="P623" s="330">
        <v>5.12</v>
      </c>
      <c r="Q623" s="331">
        <v>6103</v>
      </c>
      <c r="R623" s="330">
        <v>48000</v>
      </c>
      <c r="S623" s="330">
        <v>9500</v>
      </c>
      <c r="T623" s="326" t="s">
        <v>170</v>
      </c>
      <c r="U623" s="326" t="s">
        <v>2040</v>
      </c>
      <c r="V623" s="332">
        <v>13185</v>
      </c>
      <c r="W623" s="333">
        <v>22950</v>
      </c>
    </row>
    <row r="624" spans="1:23" ht="45" customHeight="1" x14ac:dyDescent="0.4">
      <c r="A624" s="323">
        <v>610718</v>
      </c>
      <c r="B624" s="324" t="s">
        <v>4785</v>
      </c>
      <c r="C624" s="325" t="s">
        <v>2981</v>
      </c>
      <c r="D624" s="326" t="s">
        <v>2084</v>
      </c>
      <c r="E624" s="327" t="s">
        <v>1418</v>
      </c>
      <c r="F624" s="327"/>
      <c r="G624" s="327" t="s">
        <v>1419</v>
      </c>
      <c r="H624" s="325" t="s">
        <v>2979</v>
      </c>
      <c r="I624" s="325" t="s">
        <v>228</v>
      </c>
      <c r="J624" s="328">
        <v>61</v>
      </c>
      <c r="K624" s="329">
        <v>6103</v>
      </c>
      <c r="L624" s="325" t="s">
        <v>2980</v>
      </c>
      <c r="M624" s="326" t="s">
        <v>226</v>
      </c>
      <c r="N624" s="326"/>
      <c r="O624" s="330">
        <v>140.30000000000001</v>
      </c>
      <c r="P624" s="330">
        <v>5.12</v>
      </c>
      <c r="Q624" s="331">
        <v>6103</v>
      </c>
      <c r="R624" s="330">
        <v>48000</v>
      </c>
      <c r="S624" s="330">
        <v>9500</v>
      </c>
      <c r="T624" s="326" t="s">
        <v>170</v>
      </c>
      <c r="U624" s="326" t="s">
        <v>2040</v>
      </c>
      <c r="V624" s="332">
        <v>13185</v>
      </c>
      <c r="W624" s="333">
        <v>22950</v>
      </c>
    </row>
    <row r="625" spans="1:23" ht="45" customHeight="1" x14ac:dyDescent="0.4">
      <c r="A625" s="323">
        <v>610760</v>
      </c>
      <c r="B625" s="324" t="s">
        <v>4786</v>
      </c>
      <c r="C625" s="325" t="s">
        <v>3862</v>
      </c>
      <c r="D625" s="326" t="s">
        <v>2084</v>
      </c>
      <c r="E625" s="327" t="s">
        <v>4787</v>
      </c>
      <c r="F625" s="327"/>
      <c r="G625" s="327" t="s">
        <v>383</v>
      </c>
      <c r="H625" s="325"/>
      <c r="I625" s="325"/>
      <c r="J625" s="328">
        <v>61</v>
      </c>
      <c r="K625" s="329">
        <v>6107</v>
      </c>
      <c r="L625" s="325" t="s">
        <v>3863</v>
      </c>
      <c r="M625" s="326" t="s">
        <v>226</v>
      </c>
      <c r="N625" s="326" t="s">
        <v>2232</v>
      </c>
      <c r="O625" s="330">
        <v>451.6</v>
      </c>
      <c r="P625" s="330">
        <v>4.2</v>
      </c>
      <c r="Q625" s="331">
        <v>6107</v>
      </c>
      <c r="R625" s="330">
        <v>1900000</v>
      </c>
      <c r="S625" s="330">
        <v>394000</v>
      </c>
      <c r="T625" s="326" t="s">
        <v>170</v>
      </c>
      <c r="U625" s="326" t="s">
        <v>2040</v>
      </c>
      <c r="V625" s="332"/>
      <c r="W625" s="333"/>
    </row>
    <row r="626" spans="1:23" ht="45" customHeight="1" x14ac:dyDescent="0.4">
      <c r="A626" s="323">
        <v>610811</v>
      </c>
      <c r="B626" s="324" t="s">
        <v>4788</v>
      </c>
      <c r="C626" s="325" t="s">
        <v>2982</v>
      </c>
      <c r="D626" s="326" t="s">
        <v>2084</v>
      </c>
      <c r="E626" s="327" t="s">
        <v>1420</v>
      </c>
      <c r="F626" s="327" t="s">
        <v>2983</v>
      </c>
      <c r="G626" s="327" t="s">
        <v>1421</v>
      </c>
      <c r="H626" s="325" t="s">
        <v>2570</v>
      </c>
      <c r="I626" s="325" t="s">
        <v>228</v>
      </c>
      <c r="J626" s="328">
        <v>61</v>
      </c>
      <c r="K626" s="329">
        <v>6100</v>
      </c>
      <c r="L626" s="325" t="s">
        <v>2408</v>
      </c>
      <c r="M626" s="326" t="s">
        <v>226</v>
      </c>
      <c r="N626" s="326" t="s">
        <v>2232</v>
      </c>
      <c r="O626" s="330">
        <v>587</v>
      </c>
      <c r="P626" s="330">
        <v>4.5999999999999996</v>
      </c>
      <c r="Q626" s="331">
        <v>6100</v>
      </c>
      <c r="R626" s="330">
        <v>1000000</v>
      </c>
      <c r="S626" s="330">
        <v>8400</v>
      </c>
      <c r="T626" s="326" t="s">
        <v>170</v>
      </c>
      <c r="U626" s="326" t="s">
        <v>2040</v>
      </c>
      <c r="V626" s="332" t="s">
        <v>2984</v>
      </c>
      <c r="W626" s="333">
        <v>61010</v>
      </c>
    </row>
    <row r="627" spans="1:23" ht="45" customHeight="1" x14ac:dyDescent="0.4">
      <c r="A627" s="323">
        <v>610911</v>
      </c>
      <c r="B627" s="324" t="s">
        <v>4789</v>
      </c>
      <c r="C627" s="325" t="s">
        <v>2985</v>
      </c>
      <c r="D627" s="326" t="s">
        <v>2084</v>
      </c>
      <c r="E627" s="327" t="s">
        <v>4790</v>
      </c>
      <c r="F627" s="327"/>
      <c r="G627" s="327" t="s">
        <v>3741</v>
      </c>
      <c r="H627" s="325" t="s">
        <v>2986</v>
      </c>
      <c r="I627" s="325" t="s">
        <v>228</v>
      </c>
      <c r="J627" s="328">
        <v>61</v>
      </c>
      <c r="K627" s="329">
        <v>6100</v>
      </c>
      <c r="L627" s="325" t="s">
        <v>2408</v>
      </c>
      <c r="M627" s="326" t="s">
        <v>226</v>
      </c>
      <c r="N627" s="326" t="s">
        <v>2232</v>
      </c>
      <c r="O627" s="330">
        <v>587</v>
      </c>
      <c r="P627" s="330">
        <v>4.5999999999999996</v>
      </c>
      <c r="Q627" s="331">
        <v>6100</v>
      </c>
      <c r="R627" s="330">
        <v>1000000</v>
      </c>
      <c r="S627" s="330">
        <v>8400</v>
      </c>
      <c r="T627" s="326" t="s">
        <v>170</v>
      </c>
      <c r="U627" s="326" t="s">
        <v>2040</v>
      </c>
      <c r="V627" s="332">
        <v>61050</v>
      </c>
      <c r="W627" s="333">
        <v>61010</v>
      </c>
    </row>
    <row r="628" spans="1:23" ht="45" customHeight="1" x14ac:dyDescent="0.35">
      <c r="A628" s="323">
        <v>610913</v>
      </c>
      <c r="B628" s="324" t="s">
        <v>4791</v>
      </c>
      <c r="C628" s="325" t="s">
        <v>4792</v>
      </c>
      <c r="D628" s="326" t="s">
        <v>2084</v>
      </c>
      <c r="E628" s="327" t="s">
        <v>4793</v>
      </c>
      <c r="F628" s="327"/>
      <c r="G628" s="480" t="s">
        <v>5497</v>
      </c>
      <c r="H628" s="325" t="s">
        <v>2035</v>
      </c>
      <c r="I628" s="325" t="s">
        <v>228</v>
      </c>
      <c r="J628" s="328">
        <v>61</v>
      </c>
      <c r="K628" s="329">
        <v>6100</v>
      </c>
      <c r="L628" s="325" t="s">
        <v>2408</v>
      </c>
      <c r="M628" s="326" t="s">
        <v>226</v>
      </c>
      <c r="N628" s="326" t="s">
        <v>2232</v>
      </c>
      <c r="O628" s="330">
        <v>587</v>
      </c>
      <c r="P628" s="330">
        <v>4.5999999999999996</v>
      </c>
      <c r="Q628" s="331">
        <v>6100</v>
      </c>
      <c r="R628" s="330">
        <v>1000000</v>
      </c>
      <c r="S628" s="330">
        <v>8400</v>
      </c>
      <c r="T628" s="326" t="s">
        <v>170</v>
      </c>
      <c r="U628" s="326" t="s">
        <v>2040</v>
      </c>
      <c r="V628" s="332">
        <v>61050</v>
      </c>
      <c r="W628" s="333">
        <v>61010</v>
      </c>
    </row>
    <row r="629" spans="1:23" ht="45" customHeight="1" x14ac:dyDescent="0.4">
      <c r="A629" s="323">
        <v>610915</v>
      </c>
      <c r="B629" s="324" t="s">
        <v>4794</v>
      </c>
      <c r="C629" s="325" t="s">
        <v>2987</v>
      </c>
      <c r="D629" s="326" t="s">
        <v>2084</v>
      </c>
      <c r="E629" s="327" t="s">
        <v>4795</v>
      </c>
      <c r="F629" s="327" t="s">
        <v>4796</v>
      </c>
      <c r="G629" s="327" t="s">
        <v>1422</v>
      </c>
      <c r="H629" s="325" t="s">
        <v>2988</v>
      </c>
      <c r="I629" s="325" t="s">
        <v>2989</v>
      </c>
      <c r="J629" s="328">
        <v>61</v>
      </c>
      <c r="K629" s="329">
        <v>6100</v>
      </c>
      <c r="L629" s="325" t="s">
        <v>2408</v>
      </c>
      <c r="M629" s="326" t="s">
        <v>226</v>
      </c>
      <c r="N629" s="326" t="s">
        <v>2232</v>
      </c>
      <c r="O629" s="330">
        <v>587</v>
      </c>
      <c r="P629" s="330">
        <v>4.5999999999999996</v>
      </c>
      <c r="Q629" s="331">
        <v>6100</v>
      </c>
      <c r="R629" s="330">
        <v>1000000</v>
      </c>
      <c r="S629" s="330">
        <v>8400</v>
      </c>
      <c r="T629" s="326" t="s">
        <v>170</v>
      </c>
      <c r="U629" s="326" t="s">
        <v>2040</v>
      </c>
      <c r="V629" s="332">
        <v>61050</v>
      </c>
      <c r="W629" s="333">
        <v>61010</v>
      </c>
    </row>
    <row r="630" spans="1:23" ht="45" customHeight="1" x14ac:dyDescent="0.4">
      <c r="A630" s="323">
        <v>610916</v>
      </c>
      <c r="B630" s="324" t="s">
        <v>4797</v>
      </c>
      <c r="C630" s="325" t="s">
        <v>3864</v>
      </c>
      <c r="D630" s="326" t="s">
        <v>2084</v>
      </c>
      <c r="E630" s="327" t="s">
        <v>4798</v>
      </c>
      <c r="F630" s="327"/>
      <c r="G630" s="327" t="s">
        <v>383</v>
      </c>
      <c r="H630" s="325"/>
      <c r="I630" s="325"/>
      <c r="J630" s="326">
        <v>61</v>
      </c>
      <c r="K630" s="329">
        <v>6100</v>
      </c>
      <c r="L630" s="325" t="s">
        <v>2408</v>
      </c>
      <c r="M630" s="326" t="s">
        <v>226</v>
      </c>
      <c r="N630" s="326" t="s">
        <v>2232</v>
      </c>
      <c r="O630" s="330">
        <v>587</v>
      </c>
      <c r="P630" s="330">
        <v>4.5999999999999996</v>
      </c>
      <c r="Q630" s="331">
        <v>6100</v>
      </c>
      <c r="R630" s="330">
        <v>1000000</v>
      </c>
      <c r="S630" s="330">
        <v>8400</v>
      </c>
      <c r="T630" s="326" t="s">
        <v>170</v>
      </c>
      <c r="U630" s="326" t="s">
        <v>2040</v>
      </c>
      <c r="V630" s="332"/>
      <c r="W630" s="333"/>
    </row>
    <row r="631" spans="1:23" ht="45" customHeight="1" x14ac:dyDescent="0.4">
      <c r="A631" s="323">
        <v>620099</v>
      </c>
      <c r="B631" s="324" t="s">
        <v>4799</v>
      </c>
      <c r="C631" s="325" t="s">
        <v>2990</v>
      </c>
      <c r="D631" s="326" t="s">
        <v>2084</v>
      </c>
      <c r="E631" s="327" t="s">
        <v>1423</v>
      </c>
      <c r="F631" s="327"/>
      <c r="G631" s="327" t="s">
        <v>1424</v>
      </c>
      <c r="H631" s="325" t="s">
        <v>2570</v>
      </c>
      <c r="I631" s="325" t="s">
        <v>228</v>
      </c>
      <c r="J631" s="328">
        <v>62</v>
      </c>
      <c r="K631" s="329">
        <v>6200</v>
      </c>
      <c r="L631" s="325" t="s">
        <v>2991</v>
      </c>
      <c r="M631" s="326" t="s">
        <v>226</v>
      </c>
      <c r="N631" s="326" t="s">
        <v>2232</v>
      </c>
      <c r="O631" s="330">
        <v>410.48</v>
      </c>
      <c r="P631" s="330">
        <v>4.4400000000000004</v>
      </c>
      <c r="Q631" s="331">
        <v>6200</v>
      </c>
      <c r="R631" s="330">
        <v>64000</v>
      </c>
      <c r="S631" s="330">
        <v>17000</v>
      </c>
      <c r="T631" s="326" t="s">
        <v>170</v>
      </c>
      <c r="U631" s="326" t="s">
        <v>2040</v>
      </c>
      <c r="V631" s="332">
        <v>62010</v>
      </c>
      <c r="W631" s="333" t="s">
        <v>2992</v>
      </c>
    </row>
    <row r="632" spans="1:23" ht="45" customHeight="1" x14ac:dyDescent="0.4">
      <c r="A632" s="323">
        <v>690252</v>
      </c>
      <c r="B632" s="324" t="s">
        <v>4800</v>
      </c>
      <c r="C632" s="325" t="s">
        <v>1425</v>
      </c>
      <c r="D632" s="326" t="s">
        <v>2045</v>
      </c>
      <c r="E632" s="327" t="s">
        <v>1426</v>
      </c>
      <c r="F632" s="327" t="s">
        <v>4801</v>
      </c>
      <c r="G632" s="327" t="s">
        <v>1427</v>
      </c>
      <c r="H632" s="325" t="s">
        <v>2570</v>
      </c>
      <c r="I632" s="325" t="s">
        <v>228</v>
      </c>
      <c r="J632" s="328">
        <v>69</v>
      </c>
      <c r="K632" s="329">
        <v>6900</v>
      </c>
      <c r="L632" s="325" t="s">
        <v>2993</v>
      </c>
      <c r="M632" s="326" t="s">
        <v>2076</v>
      </c>
      <c r="N632" s="326"/>
      <c r="O632" s="330">
        <v>10416.969999999999</v>
      </c>
      <c r="P632" s="330">
        <v>252.63</v>
      </c>
      <c r="Q632" s="331">
        <v>6900</v>
      </c>
      <c r="R632" s="330">
        <v>200</v>
      </c>
      <c r="S632" s="330">
        <v>1</v>
      </c>
      <c r="T632" s="326" t="s">
        <v>170</v>
      </c>
      <c r="U632" s="326" t="s">
        <v>2040</v>
      </c>
      <c r="V632" s="332">
        <v>69030</v>
      </c>
      <c r="W632" s="333">
        <v>69010</v>
      </c>
    </row>
    <row r="633" spans="1:23" ht="45" customHeight="1" x14ac:dyDescent="0.4">
      <c r="A633" s="323">
        <v>690432</v>
      </c>
      <c r="B633" s="324" t="s">
        <v>4802</v>
      </c>
      <c r="C633" s="325" t="s">
        <v>2994</v>
      </c>
      <c r="D633" s="326" t="s">
        <v>2045</v>
      </c>
      <c r="E633" s="327" t="s">
        <v>1428</v>
      </c>
      <c r="F633" s="327" t="s">
        <v>2995</v>
      </c>
      <c r="G633" s="327" t="s">
        <v>1429</v>
      </c>
      <c r="H633" s="325" t="s">
        <v>2570</v>
      </c>
      <c r="I633" s="325" t="s">
        <v>228</v>
      </c>
      <c r="J633" s="328">
        <v>69</v>
      </c>
      <c r="K633" s="329">
        <v>6900</v>
      </c>
      <c r="L633" s="325" t="s">
        <v>2993</v>
      </c>
      <c r="M633" s="326" t="s">
        <v>2076</v>
      </c>
      <c r="N633" s="326"/>
      <c r="O633" s="330">
        <v>10416.969999999999</v>
      </c>
      <c r="P633" s="330">
        <v>252.63</v>
      </c>
      <c r="Q633" s="331">
        <v>6900</v>
      </c>
      <c r="R633" s="330">
        <v>200</v>
      </c>
      <c r="S633" s="330">
        <v>1</v>
      </c>
      <c r="T633" s="326" t="s">
        <v>170</v>
      </c>
      <c r="U633" s="326" t="s">
        <v>2040</v>
      </c>
      <c r="V633" s="332">
        <v>69010</v>
      </c>
      <c r="W633" s="333">
        <v>69010</v>
      </c>
    </row>
    <row r="634" spans="1:23" ht="45" customHeight="1" x14ac:dyDescent="0.4">
      <c r="A634" s="323">
        <v>690625</v>
      </c>
      <c r="B634" s="324" t="s">
        <v>4803</v>
      </c>
      <c r="C634" s="325" t="s">
        <v>2996</v>
      </c>
      <c r="D634" s="326" t="s">
        <v>2084</v>
      </c>
      <c r="E634" s="327" t="s">
        <v>1430</v>
      </c>
      <c r="F634" s="327" t="s">
        <v>4804</v>
      </c>
      <c r="G634" s="327" t="s">
        <v>1431</v>
      </c>
      <c r="H634" s="325" t="s">
        <v>2035</v>
      </c>
      <c r="I634" s="325" t="s">
        <v>228</v>
      </c>
      <c r="J634" s="328">
        <v>73</v>
      </c>
      <c r="K634" s="329">
        <v>7383</v>
      </c>
      <c r="L634" s="325" t="s">
        <v>2231</v>
      </c>
      <c r="M634" s="326" t="s">
        <v>226</v>
      </c>
      <c r="N634" s="326" t="s">
        <v>2232</v>
      </c>
      <c r="O634" s="330">
        <v>410.48</v>
      </c>
      <c r="P634" s="330">
        <v>6.49</v>
      </c>
      <c r="Q634" s="331">
        <v>7383</v>
      </c>
      <c r="R634" s="330">
        <v>9300</v>
      </c>
      <c r="S634" s="330">
        <v>1100</v>
      </c>
      <c r="T634" s="326" t="s">
        <v>170</v>
      </c>
      <c r="U634" s="326" t="s">
        <v>2040</v>
      </c>
      <c r="V634" s="332">
        <v>73050</v>
      </c>
      <c r="W634" s="333">
        <v>73065</v>
      </c>
    </row>
    <row r="635" spans="1:23" ht="45" customHeight="1" x14ac:dyDescent="0.4">
      <c r="A635" s="323">
        <v>690792</v>
      </c>
      <c r="B635" s="324" t="s">
        <v>4805</v>
      </c>
      <c r="C635" s="325" t="s">
        <v>2997</v>
      </c>
      <c r="D635" s="326" t="s">
        <v>2045</v>
      </c>
      <c r="E635" s="327" t="s">
        <v>1432</v>
      </c>
      <c r="F635" s="327" t="s">
        <v>4806</v>
      </c>
      <c r="G635" s="327" t="s">
        <v>1433</v>
      </c>
      <c r="H635" s="325" t="s">
        <v>2570</v>
      </c>
      <c r="I635" s="325" t="s">
        <v>228</v>
      </c>
      <c r="J635" s="328">
        <v>69</v>
      </c>
      <c r="K635" s="329">
        <v>6900</v>
      </c>
      <c r="L635" s="325" t="s">
        <v>2993</v>
      </c>
      <c r="M635" s="326" t="s">
        <v>2076</v>
      </c>
      <c r="N635" s="326"/>
      <c r="O635" s="330">
        <v>10416.969999999999</v>
      </c>
      <c r="P635" s="330">
        <v>252.63</v>
      </c>
      <c r="Q635" s="331">
        <v>6900</v>
      </c>
      <c r="R635" s="330">
        <v>200</v>
      </c>
      <c r="S635" s="330">
        <v>1</v>
      </c>
      <c r="T635" s="326" t="s">
        <v>170</v>
      </c>
      <c r="U635" s="326" t="s">
        <v>2040</v>
      </c>
      <c r="V635" s="332">
        <v>69020</v>
      </c>
      <c r="W635" s="333">
        <v>69025</v>
      </c>
    </row>
    <row r="636" spans="1:23" ht="45" customHeight="1" x14ac:dyDescent="0.4">
      <c r="A636" s="323">
        <v>690795</v>
      </c>
      <c r="B636" s="324" t="s">
        <v>4807</v>
      </c>
      <c r="C636" s="325" t="s">
        <v>2998</v>
      </c>
      <c r="D636" s="326" t="s">
        <v>2045</v>
      </c>
      <c r="E636" s="327" t="s">
        <v>4808</v>
      </c>
      <c r="F636" s="327"/>
      <c r="G636" s="327" t="s">
        <v>1434</v>
      </c>
      <c r="H636" s="325" t="s">
        <v>2570</v>
      </c>
      <c r="I636" s="325" t="s">
        <v>228</v>
      </c>
      <c r="J636" s="328">
        <v>69</v>
      </c>
      <c r="K636" s="329">
        <v>6900</v>
      </c>
      <c r="L636" s="325" t="s">
        <v>2993</v>
      </c>
      <c r="M636" s="326" t="s">
        <v>2076</v>
      </c>
      <c r="N636" s="326"/>
      <c r="O636" s="330">
        <v>10416.969999999999</v>
      </c>
      <c r="P636" s="330">
        <v>252.63</v>
      </c>
      <c r="Q636" s="331">
        <v>6900</v>
      </c>
      <c r="R636" s="330">
        <v>200</v>
      </c>
      <c r="S636" s="330">
        <v>1</v>
      </c>
      <c r="T636" s="326" t="s">
        <v>170</v>
      </c>
      <c r="U636" s="326" t="s">
        <v>2040</v>
      </c>
      <c r="V636" s="332" t="s">
        <v>228</v>
      </c>
      <c r="W636" s="333">
        <v>69025</v>
      </c>
    </row>
    <row r="637" spans="1:23" ht="45" customHeight="1" x14ac:dyDescent="0.4">
      <c r="A637" s="323">
        <v>690798</v>
      </c>
      <c r="B637" s="324" t="s">
        <v>4809</v>
      </c>
      <c r="C637" s="325" t="s">
        <v>2999</v>
      </c>
      <c r="D637" s="326" t="s">
        <v>2084</v>
      </c>
      <c r="E637" s="327" t="s">
        <v>1435</v>
      </c>
      <c r="F637" s="327"/>
      <c r="G637" s="327" t="s">
        <v>1436</v>
      </c>
      <c r="H637" s="325" t="s">
        <v>2888</v>
      </c>
      <c r="I637" s="325" t="s">
        <v>228</v>
      </c>
      <c r="J637" s="328">
        <v>53</v>
      </c>
      <c r="K637" s="329">
        <v>5304</v>
      </c>
      <c r="L637" s="325" t="s">
        <v>2936</v>
      </c>
      <c r="M637" s="326" t="s">
        <v>226</v>
      </c>
      <c r="N637" s="326"/>
      <c r="O637" s="330">
        <v>795</v>
      </c>
      <c r="P637" s="330">
        <v>4.32</v>
      </c>
      <c r="Q637" s="331">
        <v>5304</v>
      </c>
      <c r="R637" s="330">
        <v>50000</v>
      </c>
      <c r="S637" s="330">
        <v>2800</v>
      </c>
      <c r="T637" s="326" t="s">
        <v>170</v>
      </c>
      <c r="U637" s="326" t="s">
        <v>2040</v>
      </c>
      <c r="V637" s="332">
        <v>53045</v>
      </c>
      <c r="W637" s="333">
        <v>53045</v>
      </c>
    </row>
    <row r="638" spans="1:23" ht="45" customHeight="1" x14ac:dyDescent="0.4">
      <c r="A638" s="323">
        <v>711111</v>
      </c>
      <c r="B638" s="324" t="s">
        <v>4810</v>
      </c>
      <c r="C638" s="325" t="s">
        <v>3000</v>
      </c>
      <c r="D638" s="326" t="s">
        <v>2084</v>
      </c>
      <c r="E638" s="327" t="s">
        <v>1437</v>
      </c>
      <c r="F638" s="327"/>
      <c r="G638" s="327" t="s">
        <v>1438</v>
      </c>
      <c r="H638" s="325" t="s">
        <v>2900</v>
      </c>
      <c r="I638" s="325" t="s">
        <v>228</v>
      </c>
      <c r="J638" s="328">
        <v>71</v>
      </c>
      <c r="K638" s="329">
        <v>7110</v>
      </c>
      <c r="L638" s="325" t="s">
        <v>3001</v>
      </c>
      <c r="M638" s="326" t="s">
        <v>226</v>
      </c>
      <c r="N638" s="326" t="s">
        <v>3002</v>
      </c>
      <c r="O638" s="330">
        <v>280.10000000000002</v>
      </c>
      <c r="P638" s="330">
        <v>2.88</v>
      </c>
      <c r="Q638" s="331">
        <v>7110</v>
      </c>
      <c r="R638" s="330">
        <v>200000</v>
      </c>
      <c r="S638" s="330">
        <v>4000</v>
      </c>
      <c r="T638" s="326" t="s">
        <v>170</v>
      </c>
      <c r="U638" s="326" t="s">
        <v>2040</v>
      </c>
      <c r="V638" s="332" t="s">
        <v>3003</v>
      </c>
      <c r="W638" s="333" t="s">
        <v>3004</v>
      </c>
    </row>
    <row r="639" spans="1:23" ht="45" customHeight="1" x14ac:dyDescent="0.4">
      <c r="A639" s="323">
        <v>711121</v>
      </c>
      <c r="B639" s="324" t="s">
        <v>4811</v>
      </c>
      <c r="C639" s="325" t="s">
        <v>3005</v>
      </c>
      <c r="D639" s="326" t="s">
        <v>2084</v>
      </c>
      <c r="E639" s="327" t="s">
        <v>1439</v>
      </c>
      <c r="F639" s="327"/>
      <c r="G639" s="327" t="s">
        <v>1440</v>
      </c>
      <c r="H639" s="325" t="s">
        <v>2900</v>
      </c>
      <c r="I639" s="325" t="s">
        <v>228</v>
      </c>
      <c r="J639" s="328">
        <v>71</v>
      </c>
      <c r="K639" s="329">
        <v>7110</v>
      </c>
      <c r="L639" s="325" t="s">
        <v>3001</v>
      </c>
      <c r="M639" s="326" t="s">
        <v>226</v>
      </c>
      <c r="N639" s="326" t="s">
        <v>3002</v>
      </c>
      <c r="O639" s="330">
        <v>280.10000000000002</v>
      </c>
      <c r="P639" s="330">
        <v>2.88</v>
      </c>
      <c r="Q639" s="331">
        <v>7110</v>
      </c>
      <c r="R639" s="330">
        <v>200000</v>
      </c>
      <c r="S639" s="330">
        <v>4000</v>
      </c>
      <c r="T639" s="326" t="s">
        <v>170</v>
      </c>
      <c r="U639" s="326" t="s">
        <v>2040</v>
      </c>
      <c r="V639" s="332" t="s">
        <v>3003</v>
      </c>
      <c r="W639" s="333" t="s">
        <v>3006</v>
      </c>
    </row>
    <row r="640" spans="1:23" ht="45" customHeight="1" x14ac:dyDescent="0.4">
      <c r="A640" s="323">
        <v>711131</v>
      </c>
      <c r="B640" s="324" t="s">
        <v>4812</v>
      </c>
      <c r="C640" s="325" t="s">
        <v>3007</v>
      </c>
      <c r="D640" s="326" t="s">
        <v>2084</v>
      </c>
      <c r="E640" s="327" t="s">
        <v>1441</v>
      </c>
      <c r="F640" s="327"/>
      <c r="G640" s="327" t="s">
        <v>1442</v>
      </c>
      <c r="H640" s="325" t="s">
        <v>2900</v>
      </c>
      <c r="I640" s="325" t="s">
        <v>228</v>
      </c>
      <c r="J640" s="328">
        <v>71</v>
      </c>
      <c r="K640" s="329">
        <v>7110</v>
      </c>
      <c r="L640" s="325" t="s">
        <v>3001</v>
      </c>
      <c r="M640" s="326" t="s">
        <v>226</v>
      </c>
      <c r="N640" s="326" t="s">
        <v>3002</v>
      </c>
      <c r="O640" s="330">
        <v>280.10000000000002</v>
      </c>
      <c r="P640" s="330">
        <v>2.88</v>
      </c>
      <c r="Q640" s="331">
        <v>7110</v>
      </c>
      <c r="R640" s="330">
        <v>200000</v>
      </c>
      <c r="S640" s="330">
        <v>4000</v>
      </c>
      <c r="T640" s="326" t="s">
        <v>170</v>
      </c>
      <c r="U640" s="326" t="s">
        <v>2040</v>
      </c>
      <c r="V640" s="332" t="s">
        <v>3003</v>
      </c>
      <c r="W640" s="333" t="s">
        <v>3008</v>
      </c>
    </row>
    <row r="641" spans="1:23" ht="45" customHeight="1" x14ac:dyDescent="0.4">
      <c r="A641" s="323">
        <v>711142</v>
      </c>
      <c r="B641" s="324" t="s">
        <v>4813</v>
      </c>
      <c r="C641" s="325" t="s">
        <v>3009</v>
      </c>
      <c r="D641" s="326" t="s">
        <v>2084</v>
      </c>
      <c r="E641" s="327" t="s">
        <v>1443</v>
      </c>
      <c r="F641" s="327"/>
      <c r="G641" s="327" t="s">
        <v>1444</v>
      </c>
      <c r="H641" s="325" t="s">
        <v>2900</v>
      </c>
      <c r="I641" s="325" t="s">
        <v>228</v>
      </c>
      <c r="J641" s="328">
        <v>71</v>
      </c>
      <c r="K641" s="329">
        <v>7110</v>
      </c>
      <c r="L641" s="325" t="s">
        <v>3001</v>
      </c>
      <c r="M641" s="326" t="s">
        <v>226</v>
      </c>
      <c r="N641" s="326" t="s">
        <v>3002</v>
      </c>
      <c r="O641" s="330">
        <v>280.10000000000002</v>
      </c>
      <c r="P641" s="330">
        <v>2.88</v>
      </c>
      <c r="Q641" s="331">
        <v>7110</v>
      </c>
      <c r="R641" s="330">
        <v>200000</v>
      </c>
      <c r="S641" s="330">
        <v>4000</v>
      </c>
      <c r="T641" s="326" t="s">
        <v>170</v>
      </c>
      <c r="U641" s="326" t="s">
        <v>2040</v>
      </c>
      <c r="V641" s="332" t="s">
        <v>3003</v>
      </c>
      <c r="W641" s="333" t="s">
        <v>3010</v>
      </c>
    </row>
    <row r="642" spans="1:23" ht="45" customHeight="1" x14ac:dyDescent="0.4">
      <c r="A642" s="323">
        <v>711143</v>
      </c>
      <c r="B642" s="324" t="s">
        <v>4814</v>
      </c>
      <c r="C642" s="325" t="s">
        <v>3011</v>
      </c>
      <c r="D642" s="326" t="s">
        <v>2084</v>
      </c>
      <c r="E642" s="327" t="s">
        <v>1445</v>
      </c>
      <c r="F642" s="327"/>
      <c r="G642" s="327" t="s">
        <v>1446</v>
      </c>
      <c r="H642" s="325" t="s">
        <v>2900</v>
      </c>
      <c r="I642" s="325" t="s">
        <v>228</v>
      </c>
      <c r="J642" s="328">
        <v>71</v>
      </c>
      <c r="K642" s="329">
        <v>7110</v>
      </c>
      <c r="L642" s="325" t="s">
        <v>3001</v>
      </c>
      <c r="M642" s="326" t="s">
        <v>226</v>
      </c>
      <c r="N642" s="326" t="s">
        <v>3002</v>
      </c>
      <c r="O642" s="330">
        <v>280.10000000000002</v>
      </c>
      <c r="P642" s="330">
        <v>2.88</v>
      </c>
      <c r="Q642" s="331">
        <v>7110</v>
      </c>
      <c r="R642" s="330">
        <v>200000</v>
      </c>
      <c r="S642" s="330">
        <v>4000</v>
      </c>
      <c r="T642" s="326" t="s">
        <v>170</v>
      </c>
      <c r="U642" s="326" t="s">
        <v>2040</v>
      </c>
      <c r="V642" s="332" t="s">
        <v>3003</v>
      </c>
      <c r="W642" s="333" t="s">
        <v>3012</v>
      </c>
    </row>
    <row r="643" spans="1:23" ht="45" customHeight="1" x14ac:dyDescent="0.4">
      <c r="A643" s="323">
        <v>711144</v>
      </c>
      <c r="B643" s="324" t="s">
        <v>4815</v>
      </c>
      <c r="C643" s="325" t="s">
        <v>3013</v>
      </c>
      <c r="D643" s="326" t="s">
        <v>2084</v>
      </c>
      <c r="E643" s="327" t="s">
        <v>1447</v>
      </c>
      <c r="F643" s="327"/>
      <c r="G643" s="327" t="s">
        <v>1448</v>
      </c>
      <c r="H643" s="325" t="s">
        <v>2900</v>
      </c>
      <c r="I643" s="325" t="s">
        <v>228</v>
      </c>
      <c r="J643" s="328">
        <v>71</v>
      </c>
      <c r="K643" s="329">
        <v>7110</v>
      </c>
      <c r="L643" s="325" t="s">
        <v>3001</v>
      </c>
      <c r="M643" s="326" t="s">
        <v>226</v>
      </c>
      <c r="N643" s="326" t="s">
        <v>3002</v>
      </c>
      <c r="O643" s="330">
        <v>280.10000000000002</v>
      </c>
      <c r="P643" s="330">
        <v>2.88</v>
      </c>
      <c r="Q643" s="331">
        <v>7110</v>
      </c>
      <c r="R643" s="330">
        <v>200000</v>
      </c>
      <c r="S643" s="330">
        <v>4000</v>
      </c>
      <c r="T643" s="326" t="s">
        <v>170</v>
      </c>
      <c r="U643" s="326" t="s">
        <v>2040</v>
      </c>
      <c r="V643" s="332" t="s">
        <v>3003</v>
      </c>
      <c r="W643" s="333" t="s">
        <v>3014</v>
      </c>
    </row>
    <row r="644" spans="1:23" ht="45" customHeight="1" x14ac:dyDescent="0.4">
      <c r="A644" s="323">
        <v>711151</v>
      </c>
      <c r="B644" s="324" t="s">
        <v>4816</v>
      </c>
      <c r="C644" s="325" t="s">
        <v>3015</v>
      </c>
      <c r="D644" s="326" t="s">
        <v>2084</v>
      </c>
      <c r="E644" s="327" t="s">
        <v>1449</v>
      </c>
      <c r="F644" s="327"/>
      <c r="G644" s="327" t="s">
        <v>1450</v>
      </c>
      <c r="H644" s="325" t="s">
        <v>2900</v>
      </c>
      <c r="I644" s="325" t="s">
        <v>228</v>
      </c>
      <c r="J644" s="328">
        <v>71</v>
      </c>
      <c r="K644" s="329">
        <v>7110</v>
      </c>
      <c r="L644" s="325" t="s">
        <v>3001</v>
      </c>
      <c r="M644" s="326" t="s">
        <v>226</v>
      </c>
      <c r="N644" s="326" t="s">
        <v>3002</v>
      </c>
      <c r="O644" s="330">
        <v>280.10000000000002</v>
      </c>
      <c r="P644" s="330">
        <v>2.88</v>
      </c>
      <c r="Q644" s="331">
        <v>7110</v>
      </c>
      <c r="R644" s="330">
        <v>200000</v>
      </c>
      <c r="S644" s="330">
        <v>4000</v>
      </c>
      <c r="T644" s="326" t="s">
        <v>170</v>
      </c>
      <c r="U644" s="326" t="s">
        <v>2040</v>
      </c>
      <c r="V644" s="332" t="s">
        <v>3003</v>
      </c>
      <c r="W644" s="333" t="s">
        <v>3016</v>
      </c>
    </row>
    <row r="645" spans="1:23" ht="45" customHeight="1" x14ac:dyDescent="0.4">
      <c r="A645" s="323">
        <v>711161</v>
      </c>
      <c r="B645" s="324" t="s">
        <v>4817</v>
      </c>
      <c r="C645" s="325" t="s">
        <v>3017</v>
      </c>
      <c r="D645" s="326" t="s">
        <v>2084</v>
      </c>
      <c r="E645" s="327" t="s">
        <v>1451</v>
      </c>
      <c r="F645" s="327" t="s">
        <v>4818</v>
      </c>
      <c r="G645" s="327" t="s">
        <v>1452</v>
      </c>
      <c r="H645" s="325" t="s">
        <v>2900</v>
      </c>
      <c r="I645" s="325" t="s">
        <v>228</v>
      </c>
      <c r="J645" s="328">
        <v>71</v>
      </c>
      <c r="K645" s="329">
        <v>7110</v>
      </c>
      <c r="L645" s="325" t="s">
        <v>3001</v>
      </c>
      <c r="M645" s="326" t="s">
        <v>226</v>
      </c>
      <c r="N645" s="326" t="s">
        <v>3002</v>
      </c>
      <c r="O645" s="330">
        <v>280.10000000000002</v>
      </c>
      <c r="P645" s="330">
        <v>2.88</v>
      </c>
      <c r="Q645" s="331">
        <v>7110</v>
      </c>
      <c r="R645" s="330">
        <v>200000</v>
      </c>
      <c r="S645" s="330">
        <v>4000</v>
      </c>
      <c r="T645" s="326" t="s">
        <v>170</v>
      </c>
      <c r="U645" s="326" t="s">
        <v>2040</v>
      </c>
      <c r="V645" s="332" t="s">
        <v>3003</v>
      </c>
      <c r="W645" s="333" t="s">
        <v>3018</v>
      </c>
    </row>
    <row r="646" spans="1:23" ht="45" customHeight="1" x14ac:dyDescent="0.4">
      <c r="A646" s="323">
        <v>711171</v>
      </c>
      <c r="B646" s="324" t="s">
        <v>4819</v>
      </c>
      <c r="C646" s="325" t="s">
        <v>3019</v>
      </c>
      <c r="D646" s="326" t="s">
        <v>2084</v>
      </c>
      <c r="E646" s="327" t="s">
        <v>1453</v>
      </c>
      <c r="F646" s="327" t="s">
        <v>4820</v>
      </c>
      <c r="G646" s="327" t="s">
        <v>1454</v>
      </c>
      <c r="H646" s="325" t="s">
        <v>2900</v>
      </c>
      <c r="I646" s="325" t="s">
        <v>228</v>
      </c>
      <c r="J646" s="328">
        <v>71</v>
      </c>
      <c r="K646" s="329">
        <v>7110</v>
      </c>
      <c r="L646" s="325" t="s">
        <v>3001</v>
      </c>
      <c r="M646" s="326" t="s">
        <v>226</v>
      </c>
      <c r="N646" s="326" t="s">
        <v>3002</v>
      </c>
      <c r="O646" s="330">
        <v>280.10000000000002</v>
      </c>
      <c r="P646" s="330">
        <v>2.88</v>
      </c>
      <c r="Q646" s="331">
        <v>7110</v>
      </c>
      <c r="R646" s="330">
        <v>200000</v>
      </c>
      <c r="S646" s="330">
        <v>4000</v>
      </c>
      <c r="T646" s="326" t="s">
        <v>170</v>
      </c>
      <c r="U646" s="326" t="s">
        <v>2040</v>
      </c>
      <c r="V646" s="332" t="s">
        <v>3003</v>
      </c>
      <c r="W646" s="333" t="s">
        <v>3018</v>
      </c>
    </row>
    <row r="647" spans="1:23" ht="45" customHeight="1" x14ac:dyDescent="0.4">
      <c r="A647" s="323">
        <v>711181</v>
      </c>
      <c r="B647" s="324" t="s">
        <v>4821</v>
      </c>
      <c r="C647" s="325" t="s">
        <v>3020</v>
      </c>
      <c r="D647" s="326" t="s">
        <v>2084</v>
      </c>
      <c r="E647" s="327" t="s">
        <v>1455</v>
      </c>
      <c r="F647" s="327"/>
      <c r="G647" s="327" t="s">
        <v>1456</v>
      </c>
      <c r="H647" s="325" t="s">
        <v>2900</v>
      </c>
      <c r="I647" s="325" t="s">
        <v>228</v>
      </c>
      <c r="J647" s="328">
        <v>71</v>
      </c>
      <c r="K647" s="329">
        <v>7110</v>
      </c>
      <c r="L647" s="325" t="s">
        <v>3001</v>
      </c>
      <c r="M647" s="326" t="s">
        <v>226</v>
      </c>
      <c r="N647" s="326" t="s">
        <v>3002</v>
      </c>
      <c r="O647" s="330">
        <v>280.10000000000002</v>
      </c>
      <c r="P647" s="330">
        <v>2.88</v>
      </c>
      <c r="Q647" s="331">
        <v>7110</v>
      </c>
      <c r="R647" s="330">
        <v>200000</v>
      </c>
      <c r="S647" s="330">
        <v>4000</v>
      </c>
      <c r="T647" s="326" t="s">
        <v>170</v>
      </c>
      <c r="U647" s="326" t="s">
        <v>2040</v>
      </c>
      <c r="V647" s="332" t="s">
        <v>3003</v>
      </c>
      <c r="W647" s="333" t="s">
        <v>3018</v>
      </c>
    </row>
    <row r="648" spans="1:23" ht="45" customHeight="1" x14ac:dyDescent="0.4">
      <c r="A648" s="323">
        <v>711191</v>
      </c>
      <c r="B648" s="324" t="s">
        <v>4822</v>
      </c>
      <c r="C648" s="325" t="s">
        <v>3021</v>
      </c>
      <c r="D648" s="326" t="s">
        <v>2084</v>
      </c>
      <c r="E648" s="327" t="s">
        <v>1457</v>
      </c>
      <c r="F648" s="327" t="s">
        <v>4823</v>
      </c>
      <c r="G648" s="327" t="s">
        <v>1458</v>
      </c>
      <c r="H648" s="325" t="s">
        <v>2900</v>
      </c>
      <c r="I648" s="325" t="s">
        <v>228</v>
      </c>
      <c r="J648" s="328">
        <v>71</v>
      </c>
      <c r="K648" s="329">
        <v>7110</v>
      </c>
      <c r="L648" s="325" t="s">
        <v>3001</v>
      </c>
      <c r="M648" s="326" t="s">
        <v>226</v>
      </c>
      <c r="N648" s="326" t="s">
        <v>3002</v>
      </c>
      <c r="O648" s="330">
        <v>280.10000000000002</v>
      </c>
      <c r="P648" s="330">
        <v>2.88</v>
      </c>
      <c r="Q648" s="331">
        <v>7110</v>
      </c>
      <c r="R648" s="330">
        <v>200000</v>
      </c>
      <c r="S648" s="330">
        <v>4000</v>
      </c>
      <c r="T648" s="326" t="s">
        <v>170</v>
      </c>
      <c r="U648" s="326" t="s">
        <v>2040</v>
      </c>
      <c r="V648" s="332" t="s">
        <v>3003</v>
      </c>
      <c r="W648" s="333" t="s">
        <v>3022</v>
      </c>
    </row>
    <row r="649" spans="1:23" ht="45" customHeight="1" x14ac:dyDescent="0.4">
      <c r="A649" s="323">
        <v>711211</v>
      </c>
      <c r="B649" s="324" t="s">
        <v>4824</v>
      </c>
      <c r="C649" s="325" t="s">
        <v>3023</v>
      </c>
      <c r="D649" s="326" t="s">
        <v>2084</v>
      </c>
      <c r="E649" s="327" t="s">
        <v>1459</v>
      </c>
      <c r="F649" s="327"/>
      <c r="G649" s="327" t="s">
        <v>1460</v>
      </c>
      <c r="H649" s="325" t="s">
        <v>2900</v>
      </c>
      <c r="I649" s="325" t="s">
        <v>228</v>
      </c>
      <c r="J649" s="328">
        <v>71</v>
      </c>
      <c r="K649" s="329">
        <v>7110</v>
      </c>
      <c r="L649" s="325" t="s">
        <v>3001</v>
      </c>
      <c r="M649" s="326" t="s">
        <v>226</v>
      </c>
      <c r="N649" s="326" t="s">
        <v>3002</v>
      </c>
      <c r="O649" s="330">
        <v>280.10000000000002</v>
      </c>
      <c r="P649" s="330">
        <v>2.88</v>
      </c>
      <c r="Q649" s="331">
        <v>7110</v>
      </c>
      <c r="R649" s="330">
        <v>200000</v>
      </c>
      <c r="S649" s="330">
        <v>4000</v>
      </c>
      <c r="T649" s="326" t="s">
        <v>170</v>
      </c>
      <c r="U649" s="326" t="s">
        <v>2040</v>
      </c>
      <c r="V649" s="332" t="s">
        <v>3003</v>
      </c>
      <c r="W649" s="333">
        <v>71165</v>
      </c>
    </row>
    <row r="650" spans="1:23" ht="45" customHeight="1" x14ac:dyDescent="0.4">
      <c r="A650" s="323">
        <v>711221</v>
      </c>
      <c r="B650" s="324" t="s">
        <v>4825</v>
      </c>
      <c r="C650" s="325" t="s">
        <v>3024</v>
      </c>
      <c r="D650" s="326" t="s">
        <v>2084</v>
      </c>
      <c r="E650" s="327" t="s">
        <v>1461</v>
      </c>
      <c r="F650" s="327"/>
      <c r="G650" s="327" t="s">
        <v>1462</v>
      </c>
      <c r="H650" s="325" t="s">
        <v>2900</v>
      </c>
      <c r="I650" s="325" t="s">
        <v>228</v>
      </c>
      <c r="J650" s="328">
        <v>71</v>
      </c>
      <c r="K650" s="329">
        <v>7110</v>
      </c>
      <c r="L650" s="325" t="s">
        <v>3001</v>
      </c>
      <c r="M650" s="326" t="s">
        <v>226</v>
      </c>
      <c r="N650" s="326" t="s">
        <v>3002</v>
      </c>
      <c r="O650" s="330">
        <v>280.10000000000002</v>
      </c>
      <c r="P650" s="330">
        <v>2.88</v>
      </c>
      <c r="Q650" s="331">
        <v>7110</v>
      </c>
      <c r="R650" s="330">
        <v>200000</v>
      </c>
      <c r="S650" s="330">
        <v>4000</v>
      </c>
      <c r="T650" s="326" t="s">
        <v>170</v>
      </c>
      <c r="U650" s="326" t="s">
        <v>2040</v>
      </c>
      <c r="V650" s="332" t="s">
        <v>3003</v>
      </c>
      <c r="W650" s="333" t="s">
        <v>3025</v>
      </c>
    </row>
    <row r="651" spans="1:23" ht="45" customHeight="1" x14ac:dyDescent="0.4">
      <c r="A651" s="323">
        <v>711231</v>
      </c>
      <c r="B651" s="324" t="s">
        <v>4826</v>
      </c>
      <c r="C651" s="325" t="s">
        <v>3026</v>
      </c>
      <c r="D651" s="326" t="s">
        <v>2084</v>
      </c>
      <c r="E651" s="327" t="s">
        <v>1463</v>
      </c>
      <c r="F651" s="327" t="s">
        <v>4827</v>
      </c>
      <c r="G651" s="327" t="s">
        <v>1464</v>
      </c>
      <c r="H651" s="325" t="s">
        <v>2900</v>
      </c>
      <c r="I651" s="325" t="s">
        <v>228</v>
      </c>
      <c r="J651" s="328">
        <v>71</v>
      </c>
      <c r="K651" s="329">
        <v>7110</v>
      </c>
      <c r="L651" s="325" t="s">
        <v>3001</v>
      </c>
      <c r="M651" s="326" t="s">
        <v>226</v>
      </c>
      <c r="N651" s="326" t="s">
        <v>3002</v>
      </c>
      <c r="O651" s="330">
        <v>280.10000000000002</v>
      </c>
      <c r="P651" s="330">
        <v>2.88</v>
      </c>
      <c r="Q651" s="331">
        <v>7110</v>
      </c>
      <c r="R651" s="330">
        <v>200000</v>
      </c>
      <c r="S651" s="330">
        <v>4000</v>
      </c>
      <c r="T651" s="326" t="s">
        <v>170</v>
      </c>
      <c r="U651" s="326" t="s">
        <v>2040</v>
      </c>
      <c r="V651" s="332" t="s">
        <v>3003</v>
      </c>
      <c r="W651" s="333" t="s">
        <v>3022</v>
      </c>
    </row>
    <row r="652" spans="1:23" ht="45" customHeight="1" x14ac:dyDescent="0.4">
      <c r="A652" s="323">
        <v>711311</v>
      </c>
      <c r="B652" s="324" t="s">
        <v>4828</v>
      </c>
      <c r="C652" s="325" t="s">
        <v>3027</v>
      </c>
      <c r="D652" s="326" t="s">
        <v>2084</v>
      </c>
      <c r="E652" s="327" t="s">
        <v>1465</v>
      </c>
      <c r="F652" s="327"/>
      <c r="G652" s="327" t="s">
        <v>1466</v>
      </c>
      <c r="H652" s="325" t="s">
        <v>2900</v>
      </c>
      <c r="I652" s="325" t="s">
        <v>228</v>
      </c>
      <c r="J652" s="328">
        <v>71</v>
      </c>
      <c r="K652" s="329">
        <v>7141</v>
      </c>
      <c r="L652" s="325" t="s">
        <v>3028</v>
      </c>
      <c r="M652" s="326" t="s">
        <v>226</v>
      </c>
      <c r="N652" s="326" t="s">
        <v>3029</v>
      </c>
      <c r="O652" s="330">
        <v>57.15</v>
      </c>
      <c r="P652" s="330">
        <v>1.67</v>
      </c>
      <c r="Q652" s="331">
        <v>7141</v>
      </c>
      <c r="R652" s="330">
        <v>5100</v>
      </c>
      <c r="S652" s="330">
        <v>580</v>
      </c>
      <c r="T652" s="326" t="s">
        <v>170</v>
      </c>
      <c r="U652" s="326" t="s">
        <v>2040</v>
      </c>
      <c r="V652" s="332" t="s">
        <v>228</v>
      </c>
      <c r="W652" s="333" t="s">
        <v>228</v>
      </c>
    </row>
    <row r="653" spans="1:23" ht="45" customHeight="1" x14ac:dyDescent="0.4">
      <c r="A653" s="323">
        <v>711312</v>
      </c>
      <c r="B653" s="324" t="s">
        <v>4829</v>
      </c>
      <c r="C653" s="325" t="s">
        <v>3030</v>
      </c>
      <c r="D653" s="326" t="s">
        <v>2045</v>
      </c>
      <c r="E653" s="327" t="s">
        <v>4830</v>
      </c>
      <c r="F653" s="327"/>
      <c r="G653" s="327" t="s">
        <v>1467</v>
      </c>
      <c r="H653" s="325" t="s">
        <v>2900</v>
      </c>
      <c r="I653" s="325" t="s">
        <v>228</v>
      </c>
      <c r="J653" s="328">
        <v>71</v>
      </c>
      <c r="K653" s="329">
        <v>7147</v>
      </c>
      <c r="L653" s="325" t="s">
        <v>3031</v>
      </c>
      <c r="M653" s="326" t="s">
        <v>226</v>
      </c>
      <c r="N653" s="326" t="s">
        <v>3029</v>
      </c>
      <c r="O653" s="330">
        <v>32.770000000000003</v>
      </c>
      <c r="P653" s="330">
        <v>0.75</v>
      </c>
      <c r="Q653" s="331">
        <v>7147</v>
      </c>
      <c r="R653" s="330">
        <v>6000</v>
      </c>
      <c r="S653" s="330">
        <v>470</v>
      </c>
      <c r="T653" s="326" t="s">
        <v>170</v>
      </c>
      <c r="U653" s="326" t="s">
        <v>2040</v>
      </c>
      <c r="V653" s="332" t="s">
        <v>228</v>
      </c>
      <c r="W653" s="333" t="s">
        <v>228</v>
      </c>
    </row>
    <row r="654" spans="1:23" ht="45" customHeight="1" x14ac:dyDescent="0.4">
      <c r="A654" s="323">
        <v>711560</v>
      </c>
      <c r="B654" s="324" t="s">
        <v>4831</v>
      </c>
      <c r="C654" s="325" t="s">
        <v>3865</v>
      </c>
      <c r="D654" s="326" t="s">
        <v>2084</v>
      </c>
      <c r="E654" s="327" t="s">
        <v>4832</v>
      </c>
      <c r="F654" s="327"/>
      <c r="G654" s="327" t="s">
        <v>383</v>
      </c>
      <c r="H654" s="325"/>
      <c r="I654" s="325"/>
      <c r="J654" s="328">
        <v>71</v>
      </c>
      <c r="K654" s="329">
        <v>7113</v>
      </c>
      <c r="L654" s="325" t="s">
        <v>3866</v>
      </c>
      <c r="M654" s="326" t="s">
        <v>226</v>
      </c>
      <c r="N654" s="326" t="s">
        <v>3002</v>
      </c>
      <c r="O654" s="330">
        <v>296</v>
      </c>
      <c r="P654" s="330">
        <v>4.93</v>
      </c>
      <c r="Q654" s="331">
        <v>7113</v>
      </c>
      <c r="R654" s="330">
        <v>500000</v>
      </c>
      <c r="S654" s="330">
        <v>75000</v>
      </c>
      <c r="T654" s="326" t="s">
        <v>170</v>
      </c>
      <c r="U654" s="326" t="s">
        <v>2040</v>
      </c>
      <c r="V654" s="332"/>
      <c r="W654" s="333"/>
    </row>
    <row r="655" spans="1:23" ht="45" customHeight="1" x14ac:dyDescent="0.4">
      <c r="A655" s="323">
        <v>713352</v>
      </c>
      <c r="B655" s="324" t="s">
        <v>4833</v>
      </c>
      <c r="C655" s="325" t="s">
        <v>3032</v>
      </c>
      <c r="D655" s="326" t="s">
        <v>2084</v>
      </c>
      <c r="E655" s="327" t="s">
        <v>1468</v>
      </c>
      <c r="F655" s="327"/>
      <c r="G655" s="327" t="s">
        <v>1469</v>
      </c>
      <c r="H655" s="325" t="s">
        <v>2900</v>
      </c>
      <c r="I655" s="325" t="s">
        <v>228</v>
      </c>
      <c r="J655" s="328">
        <v>71</v>
      </c>
      <c r="K655" s="329">
        <v>7145</v>
      </c>
      <c r="L655" s="325" t="s">
        <v>3033</v>
      </c>
      <c r="M655" s="326" t="s">
        <v>226</v>
      </c>
      <c r="N655" s="326"/>
      <c r="O655" s="330">
        <v>163.71</v>
      </c>
      <c r="P655" s="330">
        <v>1.93</v>
      </c>
      <c r="Q655" s="331">
        <v>7145</v>
      </c>
      <c r="R655" s="330">
        <v>2100</v>
      </c>
      <c r="S655" s="330">
        <v>2000</v>
      </c>
      <c r="T655" s="326" t="s">
        <v>170</v>
      </c>
      <c r="U655" s="326" t="s">
        <v>2040</v>
      </c>
      <c r="V655" s="332">
        <v>71450</v>
      </c>
      <c r="W655" s="333" t="s">
        <v>228</v>
      </c>
    </row>
    <row r="656" spans="1:23" ht="45" customHeight="1" x14ac:dyDescent="0.4">
      <c r="A656" s="323">
        <v>713366</v>
      </c>
      <c r="B656" s="324" t="s">
        <v>4834</v>
      </c>
      <c r="C656" s="325" t="s">
        <v>3034</v>
      </c>
      <c r="D656" s="326" t="s">
        <v>2034</v>
      </c>
      <c r="E656" s="327" t="s">
        <v>1470</v>
      </c>
      <c r="F656" s="327" t="s">
        <v>3035</v>
      </c>
      <c r="G656" s="327" t="s">
        <v>1471</v>
      </c>
      <c r="H656" s="325" t="s">
        <v>2900</v>
      </c>
      <c r="I656" s="325" t="s">
        <v>228</v>
      </c>
      <c r="J656" s="328">
        <v>71</v>
      </c>
      <c r="K656" s="329">
        <v>7130</v>
      </c>
      <c r="L656" s="325" t="s">
        <v>3036</v>
      </c>
      <c r="M656" s="326" t="s">
        <v>2038</v>
      </c>
      <c r="N656" s="326" t="s">
        <v>3002</v>
      </c>
      <c r="O656" s="330">
        <v>52.78</v>
      </c>
      <c r="P656" s="330">
        <v>2.9</v>
      </c>
      <c r="Q656" s="331">
        <v>7130</v>
      </c>
      <c r="R656" s="330">
        <v>250</v>
      </c>
      <c r="S656" s="330">
        <v>240</v>
      </c>
      <c r="T656" s="326" t="s">
        <v>170</v>
      </c>
      <c r="U656" s="326" t="s">
        <v>2040</v>
      </c>
      <c r="V656" s="332">
        <v>71310</v>
      </c>
      <c r="W656" s="333" t="s">
        <v>3037</v>
      </c>
    </row>
    <row r="657" spans="1:263" ht="45" customHeight="1" x14ac:dyDescent="0.4">
      <c r="A657" s="323">
        <v>714310</v>
      </c>
      <c r="B657" s="324" t="s">
        <v>4835</v>
      </c>
      <c r="C657" s="325" t="s">
        <v>3867</v>
      </c>
      <c r="D657" s="326" t="s">
        <v>2084</v>
      </c>
      <c r="E657" s="327" t="s">
        <v>4836</v>
      </c>
      <c r="F657" s="327"/>
      <c r="G657" s="327" t="s">
        <v>383</v>
      </c>
      <c r="H657" s="325"/>
      <c r="I657" s="325"/>
      <c r="J657" s="328">
        <v>71</v>
      </c>
      <c r="K657" s="329">
        <v>7143</v>
      </c>
      <c r="L657" s="325" t="s">
        <v>3868</v>
      </c>
      <c r="M657" s="326" t="s">
        <v>226</v>
      </c>
      <c r="N657" s="326"/>
      <c r="O657" s="330">
        <v>43.24</v>
      </c>
      <c r="P657" s="330">
        <v>1.69</v>
      </c>
      <c r="Q657" s="331">
        <v>7143</v>
      </c>
      <c r="R657" s="330">
        <v>25000</v>
      </c>
      <c r="S657" s="330">
        <v>920</v>
      </c>
      <c r="T657" s="326" t="s">
        <v>170</v>
      </c>
      <c r="U657" s="326" t="s">
        <v>2040</v>
      </c>
      <c r="V657" s="332"/>
      <c r="W657" s="333"/>
    </row>
    <row r="658" spans="1:263" ht="45" customHeight="1" x14ac:dyDescent="0.4">
      <c r="A658" s="323">
        <v>714431</v>
      </c>
      <c r="B658" s="324" t="s">
        <v>4837</v>
      </c>
      <c r="C658" s="325" t="s">
        <v>3038</v>
      </c>
      <c r="D658" s="326" t="s">
        <v>2084</v>
      </c>
      <c r="E658" s="327" t="s">
        <v>1472</v>
      </c>
      <c r="F658" s="327"/>
      <c r="G658" s="327" t="s">
        <v>1473</v>
      </c>
      <c r="H658" s="325" t="s">
        <v>2900</v>
      </c>
      <c r="I658" s="325" t="s">
        <v>228</v>
      </c>
      <c r="J658" s="328">
        <v>71</v>
      </c>
      <c r="K658" s="329">
        <v>7141</v>
      </c>
      <c r="L658" s="325" t="s">
        <v>3028</v>
      </c>
      <c r="M658" s="326" t="s">
        <v>226</v>
      </c>
      <c r="N658" s="326" t="s">
        <v>3029</v>
      </c>
      <c r="O658" s="330">
        <v>57.15</v>
      </c>
      <c r="P658" s="330">
        <v>1.67</v>
      </c>
      <c r="Q658" s="331">
        <v>7141</v>
      </c>
      <c r="R658" s="330">
        <v>5100</v>
      </c>
      <c r="S658" s="330">
        <v>580</v>
      </c>
      <c r="T658" s="326" t="s">
        <v>170</v>
      </c>
      <c r="U658" s="326" t="s">
        <v>2040</v>
      </c>
      <c r="V658" s="332">
        <v>71410</v>
      </c>
      <c r="W658" s="333">
        <v>71410</v>
      </c>
    </row>
    <row r="659" spans="1:263" ht="45" customHeight="1" x14ac:dyDescent="0.4">
      <c r="A659" s="323">
        <v>714432</v>
      </c>
      <c r="B659" s="324" t="s">
        <v>4838</v>
      </c>
      <c r="C659" s="325" t="s">
        <v>3039</v>
      </c>
      <c r="D659" s="326" t="s">
        <v>2045</v>
      </c>
      <c r="E659" s="327" t="s">
        <v>1474</v>
      </c>
      <c r="F659" s="327"/>
      <c r="G659" s="327" t="s">
        <v>1475</v>
      </c>
      <c r="H659" s="325" t="s">
        <v>2900</v>
      </c>
      <c r="I659" s="325" t="s">
        <v>228</v>
      </c>
      <c r="J659" s="328">
        <v>71</v>
      </c>
      <c r="K659" s="329">
        <v>7147</v>
      </c>
      <c r="L659" s="325" t="s">
        <v>3031</v>
      </c>
      <c r="M659" s="326" t="s">
        <v>226</v>
      </c>
      <c r="N659" s="326" t="s">
        <v>3029</v>
      </c>
      <c r="O659" s="330">
        <v>32.770000000000003</v>
      </c>
      <c r="P659" s="330">
        <v>0.75</v>
      </c>
      <c r="Q659" s="331">
        <v>7147</v>
      </c>
      <c r="R659" s="330">
        <v>6000</v>
      </c>
      <c r="S659" s="330">
        <v>470</v>
      </c>
      <c r="T659" s="326" t="s">
        <v>170</v>
      </c>
      <c r="U659" s="326" t="s">
        <v>2040</v>
      </c>
      <c r="V659" s="332">
        <v>71411</v>
      </c>
      <c r="W659" s="333">
        <v>71420</v>
      </c>
    </row>
    <row r="660" spans="1:263" ht="45" customHeight="1" x14ac:dyDescent="0.4">
      <c r="A660" s="323">
        <v>714433</v>
      </c>
      <c r="B660" s="324" t="s">
        <v>4839</v>
      </c>
      <c r="C660" s="325" t="s">
        <v>3040</v>
      </c>
      <c r="D660" s="326" t="s">
        <v>2084</v>
      </c>
      <c r="E660" s="327" t="s">
        <v>1476</v>
      </c>
      <c r="F660" s="327" t="s">
        <v>4840</v>
      </c>
      <c r="G660" s="327" t="s">
        <v>1477</v>
      </c>
      <c r="H660" s="325" t="s">
        <v>2900</v>
      </c>
      <c r="I660" s="325" t="s">
        <v>228</v>
      </c>
      <c r="J660" s="328">
        <v>71</v>
      </c>
      <c r="K660" s="329">
        <v>7142</v>
      </c>
      <c r="L660" s="325" t="s">
        <v>3041</v>
      </c>
      <c r="M660" s="326" t="s">
        <v>226</v>
      </c>
      <c r="N660" s="326"/>
      <c r="O660" s="330">
        <v>34.630000000000003</v>
      </c>
      <c r="P660" s="330">
        <v>0.8</v>
      </c>
      <c r="Q660" s="331">
        <v>7142</v>
      </c>
      <c r="R660" s="330">
        <v>24000</v>
      </c>
      <c r="S660" s="330">
        <v>270</v>
      </c>
      <c r="T660" s="326" t="s">
        <v>170</v>
      </c>
      <c r="U660" s="326" t="s">
        <v>2040</v>
      </c>
      <c r="V660" s="332">
        <v>71420</v>
      </c>
      <c r="W660" s="333">
        <v>71477</v>
      </c>
    </row>
    <row r="661" spans="1:263" ht="45" customHeight="1" x14ac:dyDescent="0.4">
      <c r="A661" s="323">
        <v>720100</v>
      </c>
      <c r="B661" s="324" t="s">
        <v>4841</v>
      </c>
      <c r="C661" s="325" t="s">
        <v>3042</v>
      </c>
      <c r="D661" s="326" t="s">
        <v>2084</v>
      </c>
      <c r="E661" s="327" t="s">
        <v>4842</v>
      </c>
      <c r="F661" s="327"/>
      <c r="G661" s="327" t="s">
        <v>383</v>
      </c>
      <c r="H661" s="325" t="e">
        <v>#N/A</v>
      </c>
      <c r="I661" s="325" t="e">
        <v>#N/A</v>
      </c>
      <c r="J661" s="326">
        <v>74</v>
      </c>
      <c r="K661" s="329">
        <v>7441</v>
      </c>
      <c r="L661" s="325" t="s">
        <v>3043</v>
      </c>
      <c r="M661" s="326" t="s">
        <v>226</v>
      </c>
      <c r="N661" s="326" t="s">
        <v>2232</v>
      </c>
      <c r="O661" s="330">
        <v>401.17</v>
      </c>
      <c r="P661" s="330">
        <v>4.07</v>
      </c>
      <c r="Q661" s="331">
        <v>7441</v>
      </c>
      <c r="R661" s="330">
        <v>152000</v>
      </c>
      <c r="S661" s="330">
        <v>23000</v>
      </c>
      <c r="T661" s="326" t="s">
        <v>170</v>
      </c>
      <c r="U661" s="326" t="s">
        <v>2040</v>
      </c>
      <c r="V661" s="332"/>
      <c r="W661" s="333"/>
    </row>
    <row r="662" spans="1:263" ht="45" customHeight="1" x14ac:dyDescent="0.4">
      <c r="A662" s="323">
        <v>721123</v>
      </c>
      <c r="B662" s="324" t="s">
        <v>4843</v>
      </c>
      <c r="C662" s="325" t="s">
        <v>3047</v>
      </c>
      <c r="D662" s="326" t="s">
        <v>2084</v>
      </c>
      <c r="E662" s="327" t="s">
        <v>1478</v>
      </c>
      <c r="F662" s="327"/>
      <c r="G662" s="327" t="s">
        <v>1479</v>
      </c>
      <c r="H662" s="325" t="s">
        <v>3044</v>
      </c>
      <c r="I662" s="325" t="s">
        <v>228</v>
      </c>
      <c r="J662" s="328">
        <v>73</v>
      </c>
      <c r="K662" s="329">
        <v>7312</v>
      </c>
      <c r="L662" s="325" t="s">
        <v>3045</v>
      </c>
      <c r="M662" s="326" t="s">
        <v>226</v>
      </c>
      <c r="N662" s="326" t="s">
        <v>2232</v>
      </c>
      <c r="O662" s="330">
        <v>401.62</v>
      </c>
      <c r="P662" s="330">
        <v>7.89</v>
      </c>
      <c r="Q662" s="331">
        <v>7312</v>
      </c>
      <c r="R662" s="330">
        <v>220000</v>
      </c>
      <c r="S662" s="330">
        <v>22000</v>
      </c>
      <c r="T662" s="326" t="s">
        <v>170</v>
      </c>
      <c r="U662" s="326" t="s">
        <v>2040</v>
      </c>
      <c r="V662" s="332">
        <v>73015</v>
      </c>
      <c r="W662" s="333">
        <v>73015</v>
      </c>
    </row>
    <row r="663" spans="1:263" ht="45" customHeight="1" x14ac:dyDescent="0.4">
      <c r="A663" s="323">
        <v>721201</v>
      </c>
      <c r="B663" s="324" t="s">
        <v>4844</v>
      </c>
      <c r="C663" s="325" t="s">
        <v>3048</v>
      </c>
      <c r="D663" s="326" t="s">
        <v>2084</v>
      </c>
      <c r="E663" s="327" t="s">
        <v>4845</v>
      </c>
      <c r="F663" s="327" t="s">
        <v>4846</v>
      </c>
      <c r="G663" s="327" t="s">
        <v>1480</v>
      </c>
      <c r="H663" s="325" t="s">
        <v>228</v>
      </c>
      <c r="I663" s="325" t="s">
        <v>228</v>
      </c>
      <c r="J663" s="328">
        <v>72</v>
      </c>
      <c r="K663" s="329">
        <v>7212</v>
      </c>
      <c r="L663" s="325" t="s">
        <v>3049</v>
      </c>
      <c r="M663" s="326" t="s">
        <v>226</v>
      </c>
      <c r="N663" s="326" t="s">
        <v>2232</v>
      </c>
      <c r="O663" s="330">
        <v>510</v>
      </c>
      <c r="P663" s="330">
        <v>6.82</v>
      </c>
      <c r="Q663" s="331">
        <v>7212</v>
      </c>
      <c r="R663" s="330">
        <v>200000</v>
      </c>
      <c r="S663" s="330">
        <v>5000</v>
      </c>
      <c r="T663" s="326" t="s">
        <v>170</v>
      </c>
      <c r="U663" s="326" t="s">
        <v>2040</v>
      </c>
      <c r="V663" s="332" t="s">
        <v>228</v>
      </c>
      <c r="W663" s="333" t="s">
        <v>3050</v>
      </c>
      <c r="X663" s="322"/>
      <c r="Y663" s="322"/>
      <c r="Z663" s="322"/>
      <c r="AA663" s="322"/>
      <c r="AB663" s="322"/>
      <c r="AC663" s="322"/>
      <c r="AD663" s="322"/>
      <c r="AE663" s="322"/>
      <c r="AF663" s="322"/>
      <c r="AG663" s="322"/>
      <c r="AH663" s="322"/>
      <c r="AI663" s="322"/>
      <c r="AJ663" s="322"/>
      <c r="AK663" s="322"/>
      <c r="AL663" s="322"/>
      <c r="AM663" s="322"/>
      <c r="AN663" s="322"/>
      <c r="AO663" s="322"/>
      <c r="AP663" s="322"/>
      <c r="AQ663" s="322"/>
      <c r="AR663" s="322"/>
      <c r="AS663" s="322"/>
      <c r="AT663" s="322"/>
      <c r="AU663" s="322"/>
      <c r="AV663" s="322"/>
      <c r="AW663" s="322"/>
      <c r="AX663" s="322"/>
      <c r="AY663" s="322"/>
      <c r="AZ663" s="322"/>
      <c r="BA663" s="322"/>
      <c r="BB663" s="322"/>
      <c r="BC663" s="322"/>
      <c r="BD663" s="322"/>
      <c r="BE663" s="322"/>
      <c r="BF663" s="322"/>
      <c r="BG663" s="322"/>
      <c r="BH663" s="322"/>
      <c r="BI663" s="322"/>
      <c r="BJ663" s="322"/>
      <c r="BK663" s="322"/>
      <c r="BL663" s="322"/>
      <c r="BM663" s="322"/>
      <c r="BN663" s="322"/>
      <c r="BO663" s="322"/>
      <c r="BP663" s="322"/>
      <c r="BQ663" s="322"/>
      <c r="BR663" s="322"/>
      <c r="BS663" s="322"/>
      <c r="BT663" s="322"/>
      <c r="BU663" s="322"/>
      <c r="BV663" s="322"/>
      <c r="BW663" s="322"/>
      <c r="BX663" s="322"/>
      <c r="BY663" s="322"/>
      <c r="BZ663" s="322"/>
      <c r="CA663" s="322"/>
      <c r="CB663" s="322"/>
      <c r="CC663" s="322"/>
      <c r="CD663" s="322"/>
      <c r="CE663" s="322"/>
      <c r="CF663" s="322"/>
      <c r="CG663" s="322"/>
      <c r="CH663" s="322"/>
      <c r="CI663" s="322"/>
      <c r="CJ663" s="322"/>
      <c r="CK663" s="322"/>
      <c r="CL663" s="322"/>
      <c r="CM663" s="322"/>
      <c r="CN663" s="322"/>
      <c r="CO663" s="322"/>
      <c r="CP663" s="322"/>
      <c r="CQ663" s="322"/>
      <c r="CR663" s="322"/>
      <c r="CS663" s="322"/>
      <c r="CT663" s="322"/>
      <c r="CU663" s="322"/>
      <c r="CV663" s="322"/>
      <c r="CW663" s="322"/>
      <c r="CX663" s="322"/>
      <c r="CY663" s="322"/>
      <c r="CZ663" s="322"/>
      <c r="DA663" s="322"/>
      <c r="DB663" s="322"/>
      <c r="DC663" s="322"/>
      <c r="DD663" s="322"/>
      <c r="DE663" s="322"/>
      <c r="DF663" s="322"/>
      <c r="DG663" s="322"/>
      <c r="DH663" s="322"/>
      <c r="DI663" s="322"/>
      <c r="DJ663" s="322"/>
      <c r="DK663" s="322"/>
      <c r="DL663" s="322"/>
      <c r="DM663" s="322"/>
      <c r="DN663" s="322"/>
      <c r="DO663" s="322"/>
      <c r="DP663" s="322"/>
      <c r="DQ663" s="322"/>
      <c r="DR663" s="322"/>
      <c r="DS663" s="322"/>
      <c r="DT663" s="322"/>
      <c r="DU663" s="322"/>
      <c r="DV663" s="322"/>
      <c r="DW663" s="322"/>
      <c r="DX663" s="322"/>
      <c r="DY663" s="322"/>
      <c r="DZ663" s="322"/>
      <c r="EA663" s="322"/>
      <c r="EB663" s="322"/>
      <c r="EC663" s="322"/>
      <c r="ED663" s="322"/>
      <c r="EE663" s="322"/>
      <c r="EF663" s="322"/>
      <c r="EG663" s="322"/>
      <c r="EH663" s="322"/>
      <c r="EI663" s="322"/>
      <c r="EJ663" s="322"/>
      <c r="EK663" s="322"/>
      <c r="EL663" s="322"/>
      <c r="EM663" s="322"/>
      <c r="EN663" s="322"/>
      <c r="EO663" s="322"/>
      <c r="EP663" s="322"/>
      <c r="EQ663" s="322"/>
      <c r="ER663" s="322"/>
      <c r="ES663" s="322"/>
      <c r="ET663" s="322"/>
      <c r="EU663" s="322"/>
      <c r="EV663" s="322"/>
      <c r="EW663" s="322"/>
      <c r="EX663" s="322"/>
      <c r="EY663" s="322"/>
      <c r="EZ663" s="322"/>
      <c r="FA663" s="322"/>
      <c r="FB663" s="322"/>
      <c r="FC663" s="322"/>
      <c r="FD663" s="322"/>
      <c r="FE663" s="322"/>
      <c r="FF663" s="322"/>
      <c r="FG663" s="322"/>
      <c r="FH663" s="322"/>
      <c r="FI663" s="322"/>
      <c r="FJ663" s="322"/>
      <c r="FK663" s="322"/>
      <c r="FL663" s="322"/>
      <c r="FM663" s="322"/>
      <c r="FN663" s="322"/>
      <c r="FO663" s="322"/>
      <c r="FP663" s="322"/>
      <c r="FQ663" s="322"/>
      <c r="FR663" s="322"/>
      <c r="FS663" s="322"/>
      <c r="FT663" s="322"/>
      <c r="FU663" s="322"/>
      <c r="FV663" s="322"/>
      <c r="FW663" s="322"/>
      <c r="FX663" s="322"/>
      <c r="FY663" s="322"/>
      <c r="FZ663" s="322"/>
      <c r="GA663" s="322"/>
      <c r="GB663" s="322"/>
      <c r="GC663" s="322"/>
      <c r="GD663" s="322"/>
      <c r="GE663" s="322"/>
      <c r="GF663" s="322"/>
      <c r="GG663" s="322"/>
      <c r="GH663" s="322"/>
      <c r="GI663" s="322"/>
      <c r="GJ663" s="322"/>
      <c r="GK663" s="322"/>
      <c r="GL663" s="322"/>
      <c r="GM663" s="322"/>
      <c r="GN663" s="322"/>
      <c r="GO663" s="322"/>
      <c r="GP663" s="322"/>
      <c r="GQ663" s="322"/>
      <c r="GR663" s="322"/>
      <c r="GS663" s="322"/>
      <c r="GT663" s="322"/>
      <c r="GU663" s="322"/>
      <c r="GV663" s="322"/>
      <c r="GW663" s="322"/>
      <c r="GX663" s="322"/>
      <c r="GY663" s="322"/>
      <c r="GZ663" s="322"/>
      <c r="HA663" s="322"/>
      <c r="HB663" s="322"/>
      <c r="HC663" s="322"/>
      <c r="HD663" s="322"/>
      <c r="HE663" s="322"/>
      <c r="HF663" s="322"/>
      <c r="HG663" s="322"/>
      <c r="HH663" s="322"/>
      <c r="HI663" s="322"/>
      <c r="HJ663" s="322"/>
      <c r="HK663" s="322"/>
      <c r="HL663" s="322"/>
      <c r="HM663" s="322"/>
      <c r="HN663" s="322"/>
      <c r="HO663" s="322"/>
      <c r="HP663" s="322"/>
      <c r="HQ663" s="322"/>
      <c r="HR663" s="322"/>
      <c r="HS663" s="322"/>
      <c r="HT663" s="322"/>
      <c r="HU663" s="322"/>
      <c r="HV663" s="322"/>
      <c r="HW663" s="322"/>
      <c r="HX663" s="322"/>
      <c r="HY663" s="322"/>
      <c r="HZ663" s="322"/>
      <c r="IA663" s="322"/>
      <c r="IB663" s="322"/>
      <c r="IC663" s="322"/>
      <c r="ID663" s="322"/>
      <c r="IE663" s="322"/>
      <c r="IF663" s="322"/>
      <c r="IG663" s="322"/>
      <c r="IH663" s="322"/>
      <c r="II663" s="322"/>
      <c r="IJ663" s="322"/>
      <c r="IK663" s="322"/>
      <c r="IL663" s="322"/>
      <c r="IM663" s="322"/>
      <c r="IN663" s="322"/>
      <c r="IO663" s="322"/>
      <c r="IP663" s="322"/>
      <c r="IQ663" s="322"/>
      <c r="IR663" s="322"/>
      <c r="IS663" s="322"/>
      <c r="IT663" s="322"/>
      <c r="IU663" s="322"/>
      <c r="IV663" s="322"/>
      <c r="IW663" s="322"/>
      <c r="IX663" s="322"/>
      <c r="IY663" s="322"/>
      <c r="IZ663" s="322"/>
      <c r="JA663" s="322"/>
      <c r="JB663" s="322"/>
      <c r="JC663" s="322"/>
    </row>
    <row r="664" spans="1:263" ht="45" customHeight="1" x14ac:dyDescent="0.4">
      <c r="A664" s="323">
        <v>721215</v>
      </c>
      <c r="B664" s="324" t="s">
        <v>4847</v>
      </c>
      <c r="C664" s="325" t="s">
        <v>3051</v>
      </c>
      <c r="D664" s="326" t="s">
        <v>2084</v>
      </c>
      <c r="E664" s="327" t="s">
        <v>1481</v>
      </c>
      <c r="F664" s="327"/>
      <c r="G664" s="327" t="s">
        <v>1482</v>
      </c>
      <c r="H664" s="325" t="s">
        <v>2986</v>
      </c>
      <c r="I664" s="325" t="s">
        <v>3052</v>
      </c>
      <c r="J664" s="328">
        <v>72</v>
      </c>
      <c r="K664" s="329">
        <v>7220</v>
      </c>
      <c r="L664" s="325" t="s">
        <v>3053</v>
      </c>
      <c r="M664" s="326" t="s">
        <v>226</v>
      </c>
      <c r="N664" s="326" t="s">
        <v>2232</v>
      </c>
      <c r="O664" s="330">
        <v>751</v>
      </c>
      <c r="P664" s="330">
        <v>5.82</v>
      </c>
      <c r="Q664" s="331">
        <v>7220</v>
      </c>
      <c r="R664" s="330">
        <v>110000</v>
      </c>
      <c r="S664" s="330">
        <v>16000</v>
      </c>
      <c r="T664" s="326" t="s">
        <v>170</v>
      </c>
      <c r="U664" s="326" t="s">
        <v>2040</v>
      </c>
      <c r="V664" s="332" t="s">
        <v>3054</v>
      </c>
      <c r="W664" s="333" t="s">
        <v>3055</v>
      </c>
    </row>
    <row r="665" spans="1:263" ht="45" customHeight="1" x14ac:dyDescent="0.4">
      <c r="A665" s="323">
        <v>721311</v>
      </c>
      <c r="B665" s="324" t="s">
        <v>4848</v>
      </c>
      <c r="C665" s="325" t="s">
        <v>3056</v>
      </c>
      <c r="D665" s="326" t="s">
        <v>2084</v>
      </c>
      <c r="E665" s="327" t="s">
        <v>1483</v>
      </c>
      <c r="F665" s="327"/>
      <c r="G665" s="327" t="s">
        <v>1484</v>
      </c>
      <c r="H665" s="325" t="s">
        <v>2900</v>
      </c>
      <c r="I665" s="325" t="s">
        <v>3057</v>
      </c>
      <c r="J665" s="328">
        <v>72</v>
      </c>
      <c r="K665" s="329">
        <v>7218</v>
      </c>
      <c r="L665" s="325" t="s">
        <v>3058</v>
      </c>
      <c r="M665" s="326" t="s">
        <v>226</v>
      </c>
      <c r="N665" s="326" t="s">
        <v>2232</v>
      </c>
      <c r="O665" s="330">
        <v>373</v>
      </c>
      <c r="P665" s="330">
        <v>6.72</v>
      </c>
      <c r="Q665" s="331">
        <v>7218</v>
      </c>
      <c r="R665" s="330">
        <v>200000</v>
      </c>
      <c r="S665" s="330">
        <v>59000</v>
      </c>
      <c r="T665" s="326" t="s">
        <v>170</v>
      </c>
      <c r="U665" s="326" t="s">
        <v>2040</v>
      </c>
      <c r="V665" s="332">
        <v>72181</v>
      </c>
      <c r="W665" s="333">
        <v>72115</v>
      </c>
    </row>
    <row r="666" spans="1:263" ht="45" customHeight="1" x14ac:dyDescent="0.4">
      <c r="A666" s="323">
        <v>721312</v>
      </c>
      <c r="B666" s="324" t="s">
        <v>4849</v>
      </c>
      <c r="C666" s="325" t="s">
        <v>3059</v>
      </c>
      <c r="D666" s="326" t="s">
        <v>2084</v>
      </c>
      <c r="E666" s="327" t="s">
        <v>1485</v>
      </c>
      <c r="F666" s="327"/>
      <c r="G666" s="327" t="s">
        <v>1486</v>
      </c>
      <c r="H666" s="325" t="s">
        <v>2900</v>
      </c>
      <c r="I666" s="325" t="s">
        <v>3060</v>
      </c>
      <c r="J666" s="328">
        <v>72</v>
      </c>
      <c r="K666" s="329">
        <v>7210</v>
      </c>
      <c r="L666" s="325" t="s">
        <v>3061</v>
      </c>
      <c r="M666" s="326" t="s">
        <v>226</v>
      </c>
      <c r="N666" s="326" t="s">
        <v>2232</v>
      </c>
      <c r="O666" s="330">
        <v>510</v>
      </c>
      <c r="P666" s="330">
        <v>6.01</v>
      </c>
      <c r="Q666" s="331">
        <v>7210</v>
      </c>
      <c r="R666" s="330">
        <v>330000</v>
      </c>
      <c r="S666" s="330">
        <v>30000</v>
      </c>
      <c r="T666" s="326" t="s">
        <v>170</v>
      </c>
      <c r="U666" s="326" t="s">
        <v>2040</v>
      </c>
      <c r="V666" s="332">
        <v>72111</v>
      </c>
      <c r="W666" s="333">
        <v>72111</v>
      </c>
    </row>
    <row r="667" spans="1:263" ht="45" customHeight="1" x14ac:dyDescent="0.4">
      <c r="A667" s="323">
        <v>721313</v>
      </c>
      <c r="B667" s="324" t="s">
        <v>4850</v>
      </c>
      <c r="C667" s="325" t="s">
        <v>3062</v>
      </c>
      <c r="D667" s="326" t="s">
        <v>2084</v>
      </c>
      <c r="E667" s="327" t="s">
        <v>1487</v>
      </c>
      <c r="F667" s="327"/>
      <c r="G667" s="327" t="s">
        <v>1488</v>
      </c>
      <c r="H667" s="325" t="s">
        <v>2900</v>
      </c>
      <c r="I667" s="325" t="s">
        <v>3063</v>
      </c>
      <c r="J667" s="328">
        <v>72</v>
      </c>
      <c r="K667" s="329">
        <v>7210</v>
      </c>
      <c r="L667" s="325" t="s">
        <v>3061</v>
      </c>
      <c r="M667" s="326" t="s">
        <v>226</v>
      </c>
      <c r="N667" s="326" t="s">
        <v>2232</v>
      </c>
      <c r="O667" s="330">
        <v>510</v>
      </c>
      <c r="P667" s="330">
        <v>6.01</v>
      </c>
      <c r="Q667" s="331">
        <v>7210</v>
      </c>
      <c r="R667" s="330">
        <v>330000</v>
      </c>
      <c r="S667" s="330">
        <v>30000</v>
      </c>
      <c r="T667" s="326" t="s">
        <v>170</v>
      </c>
      <c r="U667" s="326" t="s">
        <v>2040</v>
      </c>
      <c r="V667" s="332" t="s">
        <v>3064</v>
      </c>
      <c r="W667" s="333" t="s">
        <v>3065</v>
      </c>
    </row>
    <row r="668" spans="1:263" ht="45" customHeight="1" x14ac:dyDescent="0.4">
      <c r="A668" s="323">
        <v>721314</v>
      </c>
      <c r="B668" s="324" t="s">
        <v>4851</v>
      </c>
      <c r="C668" s="325" t="s">
        <v>3066</v>
      </c>
      <c r="D668" s="326" t="s">
        <v>2084</v>
      </c>
      <c r="E668" s="327" t="s">
        <v>1489</v>
      </c>
      <c r="F668" s="327"/>
      <c r="G668" s="327" t="s">
        <v>1490</v>
      </c>
      <c r="H668" s="325" t="s">
        <v>2900</v>
      </c>
      <c r="I668" s="325" t="s">
        <v>3063</v>
      </c>
      <c r="J668" s="328">
        <v>72</v>
      </c>
      <c r="K668" s="329">
        <v>7210</v>
      </c>
      <c r="L668" s="325" t="s">
        <v>3061</v>
      </c>
      <c r="M668" s="326" t="s">
        <v>226</v>
      </c>
      <c r="N668" s="326" t="s">
        <v>2232</v>
      </c>
      <c r="O668" s="330">
        <v>510</v>
      </c>
      <c r="P668" s="330">
        <v>6.01</v>
      </c>
      <c r="Q668" s="331">
        <v>7210</v>
      </c>
      <c r="R668" s="330">
        <v>330000</v>
      </c>
      <c r="S668" s="330">
        <v>30000</v>
      </c>
      <c r="T668" s="326" t="s">
        <v>170</v>
      </c>
      <c r="U668" s="326" t="s">
        <v>2040</v>
      </c>
      <c r="V668" s="332" t="s">
        <v>3064</v>
      </c>
      <c r="W668" s="333" t="s">
        <v>3067</v>
      </c>
      <c r="X668" s="322"/>
      <c r="Y668" s="322"/>
      <c r="Z668" s="322"/>
      <c r="AA668" s="322"/>
      <c r="AB668" s="322"/>
      <c r="AC668" s="322"/>
      <c r="AD668" s="322"/>
      <c r="AE668" s="322"/>
      <c r="AF668" s="322"/>
      <c r="AG668" s="322"/>
      <c r="AH668" s="322"/>
      <c r="AI668" s="322"/>
      <c r="AJ668" s="322"/>
      <c r="AK668" s="322"/>
      <c r="AL668" s="322"/>
      <c r="AM668" s="322"/>
      <c r="AN668" s="322"/>
      <c r="AO668" s="322"/>
      <c r="AP668" s="322"/>
      <c r="AQ668" s="322"/>
      <c r="AR668" s="322"/>
      <c r="AS668" s="322"/>
      <c r="AT668" s="322"/>
      <c r="AU668" s="322"/>
      <c r="AV668" s="322"/>
      <c r="AW668" s="322"/>
      <c r="AX668" s="322"/>
      <c r="AY668" s="322"/>
      <c r="AZ668" s="322"/>
      <c r="BA668" s="322"/>
      <c r="BB668" s="322"/>
      <c r="BC668" s="322"/>
      <c r="BD668" s="322"/>
      <c r="BE668" s="322"/>
      <c r="BF668" s="322"/>
      <c r="BG668" s="322"/>
      <c r="BH668" s="322"/>
      <c r="BI668" s="322"/>
      <c r="BJ668" s="322"/>
      <c r="BK668" s="322"/>
      <c r="BL668" s="322"/>
      <c r="BM668" s="322"/>
      <c r="BN668" s="322"/>
      <c r="BO668" s="322"/>
      <c r="BP668" s="322"/>
      <c r="BQ668" s="322"/>
      <c r="BR668" s="322"/>
      <c r="BS668" s="322"/>
      <c r="BT668" s="322"/>
      <c r="BU668" s="322"/>
      <c r="BV668" s="322"/>
      <c r="BW668" s="322"/>
      <c r="BX668" s="322"/>
      <c r="BY668" s="322"/>
      <c r="BZ668" s="322"/>
      <c r="CA668" s="322"/>
      <c r="CB668" s="322"/>
      <c r="CC668" s="322"/>
      <c r="CD668" s="322"/>
      <c r="CE668" s="322"/>
      <c r="CF668" s="322"/>
      <c r="CG668" s="322"/>
      <c r="CH668" s="322"/>
      <c r="CI668" s="322"/>
      <c r="CJ668" s="322"/>
      <c r="CK668" s="322"/>
      <c r="CL668" s="322"/>
      <c r="CM668" s="322"/>
      <c r="CN668" s="322"/>
      <c r="CO668" s="322"/>
      <c r="CP668" s="322"/>
      <c r="CQ668" s="322"/>
      <c r="CR668" s="322"/>
      <c r="CS668" s="322"/>
      <c r="CT668" s="322"/>
      <c r="CU668" s="322"/>
      <c r="CV668" s="322"/>
      <c r="CW668" s="322"/>
      <c r="CX668" s="322"/>
      <c r="CY668" s="322"/>
      <c r="CZ668" s="322"/>
      <c r="DA668" s="322"/>
      <c r="DB668" s="322"/>
      <c r="DC668" s="322"/>
      <c r="DD668" s="322"/>
      <c r="DE668" s="322"/>
      <c r="DF668" s="322"/>
      <c r="DG668" s="322"/>
      <c r="DH668" s="322"/>
      <c r="DI668" s="322"/>
      <c r="DJ668" s="322"/>
      <c r="DK668" s="322"/>
      <c r="DL668" s="322"/>
      <c r="DM668" s="322"/>
      <c r="DN668" s="322"/>
      <c r="DO668" s="322"/>
      <c r="DP668" s="322"/>
      <c r="DQ668" s="322"/>
      <c r="DR668" s="322"/>
      <c r="DS668" s="322"/>
      <c r="DT668" s="322"/>
      <c r="DU668" s="322"/>
      <c r="DV668" s="322"/>
      <c r="DW668" s="322"/>
      <c r="DX668" s="322"/>
      <c r="DY668" s="322"/>
      <c r="DZ668" s="322"/>
      <c r="EA668" s="322"/>
      <c r="EB668" s="322"/>
      <c r="EC668" s="322"/>
      <c r="ED668" s="322"/>
      <c r="EE668" s="322"/>
      <c r="EF668" s="322"/>
      <c r="EG668" s="322"/>
      <c r="EH668" s="322"/>
      <c r="EI668" s="322"/>
      <c r="EJ668" s="322"/>
      <c r="EK668" s="322"/>
      <c r="EL668" s="322"/>
      <c r="EM668" s="322"/>
      <c r="EN668" s="322"/>
      <c r="EO668" s="322"/>
      <c r="EP668" s="322"/>
      <c r="EQ668" s="322"/>
      <c r="ER668" s="322"/>
      <c r="ES668" s="322"/>
      <c r="ET668" s="322"/>
      <c r="EU668" s="322"/>
      <c r="EV668" s="322"/>
      <c r="EW668" s="322"/>
      <c r="EX668" s="322"/>
      <c r="EY668" s="322"/>
      <c r="EZ668" s="322"/>
      <c r="FA668" s="322"/>
      <c r="FB668" s="322"/>
      <c r="FC668" s="322"/>
      <c r="FD668" s="322"/>
      <c r="FE668" s="322"/>
      <c r="FF668" s="322"/>
      <c r="FG668" s="322"/>
      <c r="FH668" s="322"/>
      <c r="FI668" s="322"/>
      <c r="FJ668" s="322"/>
      <c r="FK668" s="322"/>
      <c r="FL668" s="322"/>
      <c r="FM668" s="322"/>
      <c r="FN668" s="322"/>
      <c r="FO668" s="322"/>
      <c r="FP668" s="322"/>
      <c r="FQ668" s="322"/>
      <c r="FR668" s="322"/>
      <c r="FS668" s="322"/>
      <c r="FT668" s="322"/>
      <c r="FU668" s="322"/>
      <c r="FV668" s="322"/>
      <c r="FW668" s="322"/>
      <c r="FX668" s="322"/>
      <c r="FY668" s="322"/>
      <c r="FZ668" s="322"/>
      <c r="GA668" s="322"/>
      <c r="GB668" s="322"/>
      <c r="GC668" s="322"/>
      <c r="GD668" s="322"/>
      <c r="GE668" s="322"/>
      <c r="GF668" s="322"/>
      <c r="GG668" s="322"/>
      <c r="GH668" s="322"/>
      <c r="GI668" s="322"/>
      <c r="GJ668" s="322"/>
      <c r="GK668" s="322"/>
      <c r="GL668" s="322"/>
      <c r="GM668" s="322"/>
      <c r="GN668" s="322"/>
      <c r="GO668" s="322"/>
      <c r="GP668" s="322"/>
      <c r="GQ668" s="322"/>
      <c r="GR668" s="322"/>
      <c r="GS668" s="322"/>
      <c r="GT668" s="322"/>
      <c r="GU668" s="322"/>
      <c r="GV668" s="322"/>
      <c r="GW668" s="322"/>
      <c r="GX668" s="322"/>
      <c r="GY668" s="322"/>
      <c r="GZ668" s="322"/>
      <c r="HA668" s="322"/>
      <c r="HB668" s="322"/>
      <c r="HC668" s="322"/>
      <c r="HD668" s="322"/>
      <c r="HE668" s="322"/>
      <c r="HF668" s="322"/>
      <c r="HG668" s="322"/>
      <c r="HH668" s="322"/>
      <c r="HI668" s="322"/>
      <c r="HJ668" s="322"/>
      <c r="HK668" s="322"/>
      <c r="HL668" s="322"/>
      <c r="HM668" s="322"/>
      <c r="HN668" s="322"/>
      <c r="HO668" s="322"/>
      <c r="HP668" s="322"/>
      <c r="HQ668" s="322"/>
      <c r="HR668" s="322"/>
      <c r="HS668" s="322"/>
      <c r="HT668" s="322"/>
      <c r="HU668" s="322"/>
      <c r="HV668" s="322"/>
      <c r="HW668" s="322"/>
      <c r="HX668" s="322"/>
      <c r="HY668" s="322"/>
      <c r="HZ668" s="322"/>
      <c r="IA668" s="322"/>
      <c r="IB668" s="322"/>
      <c r="IC668" s="322"/>
      <c r="ID668" s="322"/>
      <c r="IE668" s="322"/>
      <c r="IF668" s="322"/>
      <c r="IG668" s="322"/>
      <c r="IH668" s="322"/>
      <c r="II668" s="322"/>
      <c r="IJ668" s="322"/>
      <c r="IK668" s="322"/>
      <c r="IL668" s="322"/>
      <c r="IM668" s="322"/>
      <c r="IN668" s="322"/>
      <c r="IO668" s="322"/>
      <c r="IP668" s="322"/>
      <c r="IQ668" s="322"/>
      <c r="IR668" s="322"/>
      <c r="IS668" s="322"/>
      <c r="IT668" s="322"/>
      <c r="IU668" s="322"/>
      <c r="IV668" s="322"/>
      <c r="IW668" s="322"/>
      <c r="IX668" s="322"/>
      <c r="IY668" s="322"/>
      <c r="IZ668" s="322"/>
      <c r="JA668" s="322"/>
      <c r="JB668" s="322"/>
      <c r="JC668" s="322"/>
    </row>
    <row r="669" spans="1:263" ht="45" customHeight="1" x14ac:dyDescent="0.4">
      <c r="A669" s="323">
        <v>721315</v>
      </c>
      <c r="B669" s="324" t="s">
        <v>4852</v>
      </c>
      <c r="C669" s="325" t="s">
        <v>3068</v>
      </c>
      <c r="D669" s="326" t="s">
        <v>2084</v>
      </c>
      <c r="E669" s="327" t="s">
        <v>3743</v>
      </c>
      <c r="F669" s="327"/>
      <c r="G669" s="327" t="s">
        <v>1491</v>
      </c>
      <c r="H669" s="325" t="s">
        <v>2986</v>
      </c>
      <c r="I669" s="325" t="s">
        <v>3069</v>
      </c>
      <c r="J669" s="328">
        <v>72</v>
      </c>
      <c r="K669" s="329">
        <v>7212</v>
      </c>
      <c r="L669" s="325" t="s">
        <v>3049</v>
      </c>
      <c r="M669" s="326" t="s">
        <v>226</v>
      </c>
      <c r="N669" s="326" t="s">
        <v>2232</v>
      </c>
      <c r="O669" s="330">
        <v>510</v>
      </c>
      <c r="P669" s="330">
        <v>6.82</v>
      </c>
      <c r="Q669" s="331">
        <v>7212</v>
      </c>
      <c r="R669" s="330">
        <v>200000</v>
      </c>
      <c r="S669" s="330">
        <v>5000</v>
      </c>
      <c r="T669" s="326" t="s">
        <v>170</v>
      </c>
      <c r="U669" s="326" t="s">
        <v>2040</v>
      </c>
      <c r="V669" s="332" t="s">
        <v>228</v>
      </c>
      <c r="W669" s="333" t="s">
        <v>3050</v>
      </c>
      <c r="X669" s="322"/>
      <c r="Y669" s="322"/>
      <c r="Z669" s="322"/>
      <c r="AA669" s="322"/>
      <c r="AB669" s="322"/>
      <c r="AC669" s="322"/>
      <c r="AD669" s="322"/>
      <c r="AE669" s="322"/>
      <c r="AF669" s="322"/>
      <c r="AG669" s="322"/>
      <c r="AH669" s="322"/>
      <c r="AI669" s="322"/>
      <c r="AJ669" s="322"/>
      <c r="AK669" s="322"/>
      <c r="AL669" s="322"/>
      <c r="AM669" s="322"/>
      <c r="AN669" s="322"/>
      <c r="AO669" s="322"/>
      <c r="AP669" s="322"/>
      <c r="AQ669" s="322"/>
      <c r="AR669" s="322"/>
      <c r="AS669" s="322"/>
      <c r="AT669" s="322"/>
      <c r="AU669" s="322"/>
      <c r="AV669" s="322"/>
      <c r="AW669" s="322"/>
      <c r="AX669" s="322"/>
      <c r="AY669" s="322"/>
      <c r="AZ669" s="322"/>
      <c r="BA669" s="322"/>
      <c r="BB669" s="322"/>
      <c r="BC669" s="322"/>
      <c r="BD669" s="322"/>
      <c r="BE669" s="322"/>
      <c r="BF669" s="322"/>
      <c r="BG669" s="322"/>
      <c r="BH669" s="322"/>
      <c r="BI669" s="322"/>
      <c r="BJ669" s="322"/>
      <c r="BK669" s="322"/>
      <c r="BL669" s="322"/>
      <c r="BM669" s="322"/>
      <c r="BN669" s="322"/>
      <c r="BO669" s="322"/>
      <c r="BP669" s="322"/>
      <c r="BQ669" s="322"/>
      <c r="BR669" s="322"/>
      <c r="BS669" s="322"/>
      <c r="BT669" s="322"/>
      <c r="BU669" s="322"/>
      <c r="BV669" s="322"/>
      <c r="BW669" s="322"/>
      <c r="BX669" s="322"/>
      <c r="BY669" s="322"/>
      <c r="BZ669" s="322"/>
      <c r="CA669" s="322"/>
      <c r="CB669" s="322"/>
      <c r="CC669" s="322"/>
      <c r="CD669" s="322"/>
      <c r="CE669" s="322"/>
      <c r="CF669" s="322"/>
      <c r="CG669" s="322"/>
      <c r="CH669" s="322"/>
      <c r="CI669" s="322"/>
      <c r="CJ669" s="322"/>
      <c r="CK669" s="322"/>
      <c r="CL669" s="322"/>
      <c r="CM669" s="322"/>
      <c r="CN669" s="322"/>
      <c r="CO669" s="322"/>
      <c r="CP669" s="322"/>
      <c r="CQ669" s="322"/>
      <c r="CR669" s="322"/>
      <c r="CS669" s="322"/>
      <c r="CT669" s="322"/>
      <c r="CU669" s="322"/>
      <c r="CV669" s="322"/>
      <c r="CW669" s="322"/>
      <c r="CX669" s="322"/>
      <c r="CY669" s="322"/>
      <c r="CZ669" s="322"/>
      <c r="DA669" s="322"/>
      <c r="DB669" s="322"/>
      <c r="DC669" s="322"/>
      <c r="DD669" s="322"/>
      <c r="DE669" s="322"/>
      <c r="DF669" s="322"/>
      <c r="DG669" s="322"/>
      <c r="DH669" s="322"/>
      <c r="DI669" s="322"/>
      <c r="DJ669" s="322"/>
      <c r="DK669" s="322"/>
      <c r="DL669" s="322"/>
      <c r="DM669" s="322"/>
      <c r="DN669" s="322"/>
      <c r="DO669" s="322"/>
      <c r="DP669" s="322"/>
      <c r="DQ669" s="322"/>
      <c r="DR669" s="322"/>
      <c r="DS669" s="322"/>
      <c r="DT669" s="322"/>
      <c r="DU669" s="322"/>
      <c r="DV669" s="322"/>
      <c r="DW669" s="322"/>
      <c r="DX669" s="322"/>
      <c r="DY669" s="322"/>
      <c r="DZ669" s="322"/>
      <c r="EA669" s="322"/>
      <c r="EB669" s="322"/>
      <c r="EC669" s="322"/>
      <c r="ED669" s="322"/>
      <c r="EE669" s="322"/>
      <c r="EF669" s="322"/>
      <c r="EG669" s="322"/>
      <c r="EH669" s="322"/>
      <c r="EI669" s="322"/>
      <c r="EJ669" s="322"/>
      <c r="EK669" s="322"/>
      <c r="EL669" s="322"/>
      <c r="EM669" s="322"/>
      <c r="EN669" s="322"/>
      <c r="EO669" s="322"/>
      <c r="EP669" s="322"/>
      <c r="EQ669" s="322"/>
      <c r="ER669" s="322"/>
      <c r="ES669" s="322"/>
      <c r="ET669" s="322"/>
      <c r="EU669" s="322"/>
      <c r="EV669" s="322"/>
      <c r="EW669" s="322"/>
      <c r="EX669" s="322"/>
      <c r="EY669" s="322"/>
      <c r="EZ669" s="322"/>
      <c r="FA669" s="322"/>
      <c r="FB669" s="322"/>
      <c r="FC669" s="322"/>
      <c r="FD669" s="322"/>
      <c r="FE669" s="322"/>
      <c r="FF669" s="322"/>
      <c r="FG669" s="322"/>
      <c r="FH669" s="322"/>
      <c r="FI669" s="322"/>
      <c r="FJ669" s="322"/>
      <c r="FK669" s="322"/>
      <c r="FL669" s="322"/>
      <c r="FM669" s="322"/>
      <c r="FN669" s="322"/>
      <c r="FO669" s="322"/>
      <c r="FP669" s="322"/>
      <c r="FQ669" s="322"/>
      <c r="FR669" s="322"/>
      <c r="FS669" s="322"/>
      <c r="FT669" s="322"/>
      <c r="FU669" s="322"/>
      <c r="FV669" s="322"/>
      <c r="FW669" s="322"/>
      <c r="FX669" s="322"/>
      <c r="FY669" s="322"/>
      <c r="FZ669" s="322"/>
      <c r="GA669" s="322"/>
      <c r="GB669" s="322"/>
      <c r="GC669" s="322"/>
      <c r="GD669" s="322"/>
      <c r="GE669" s="322"/>
      <c r="GF669" s="322"/>
      <c r="GG669" s="322"/>
      <c r="GH669" s="322"/>
      <c r="GI669" s="322"/>
      <c r="GJ669" s="322"/>
      <c r="GK669" s="322"/>
      <c r="GL669" s="322"/>
      <c r="GM669" s="322"/>
      <c r="GN669" s="322"/>
      <c r="GO669" s="322"/>
      <c r="GP669" s="322"/>
      <c r="GQ669" s="322"/>
      <c r="GR669" s="322"/>
      <c r="GS669" s="322"/>
      <c r="GT669" s="322"/>
      <c r="GU669" s="322"/>
      <c r="GV669" s="322"/>
      <c r="GW669" s="322"/>
      <c r="GX669" s="322"/>
      <c r="GY669" s="322"/>
      <c r="GZ669" s="322"/>
      <c r="HA669" s="322"/>
      <c r="HB669" s="322"/>
      <c r="HC669" s="322"/>
      <c r="HD669" s="322"/>
      <c r="HE669" s="322"/>
      <c r="HF669" s="322"/>
      <c r="HG669" s="322"/>
      <c r="HH669" s="322"/>
      <c r="HI669" s="322"/>
      <c r="HJ669" s="322"/>
      <c r="HK669" s="322"/>
      <c r="HL669" s="322"/>
      <c r="HM669" s="322"/>
      <c r="HN669" s="322"/>
      <c r="HO669" s="322"/>
      <c r="HP669" s="322"/>
      <c r="HQ669" s="322"/>
      <c r="HR669" s="322"/>
      <c r="HS669" s="322"/>
      <c r="HT669" s="322"/>
      <c r="HU669" s="322"/>
      <c r="HV669" s="322"/>
      <c r="HW669" s="322"/>
      <c r="HX669" s="322"/>
      <c r="HY669" s="322"/>
      <c r="HZ669" s="322"/>
      <c r="IA669" s="322"/>
      <c r="IB669" s="322"/>
      <c r="IC669" s="322"/>
      <c r="ID669" s="322"/>
      <c r="IE669" s="322"/>
      <c r="IF669" s="322"/>
      <c r="IG669" s="322"/>
      <c r="IH669" s="322"/>
      <c r="II669" s="322"/>
      <c r="IJ669" s="322"/>
      <c r="IK669" s="322"/>
      <c r="IL669" s="322"/>
      <c r="IM669" s="322"/>
      <c r="IN669" s="322"/>
      <c r="IO669" s="322"/>
      <c r="IP669" s="322"/>
      <c r="IQ669" s="322"/>
      <c r="IR669" s="322"/>
      <c r="IS669" s="322"/>
      <c r="IT669" s="322"/>
      <c r="IU669" s="322"/>
      <c r="IV669" s="322"/>
      <c r="IW669" s="322"/>
      <c r="IX669" s="322"/>
      <c r="IY669" s="322"/>
      <c r="IZ669" s="322"/>
      <c r="JA669" s="322"/>
      <c r="JB669" s="322"/>
      <c r="JC669" s="322"/>
    </row>
    <row r="670" spans="1:263" ht="45" customHeight="1" x14ac:dyDescent="0.4">
      <c r="A670" s="323">
        <v>721316</v>
      </c>
      <c r="B670" s="324" t="s">
        <v>4853</v>
      </c>
      <c r="C670" s="325" t="s">
        <v>3070</v>
      </c>
      <c r="D670" s="326" t="s">
        <v>2084</v>
      </c>
      <c r="E670" s="327" t="s">
        <v>1492</v>
      </c>
      <c r="F670" s="327"/>
      <c r="G670" s="327" t="s">
        <v>1493</v>
      </c>
      <c r="H670" s="325" t="s">
        <v>3071</v>
      </c>
      <c r="I670" s="325" t="s">
        <v>2900</v>
      </c>
      <c r="J670" s="328">
        <v>72</v>
      </c>
      <c r="K670" s="329">
        <v>7215</v>
      </c>
      <c r="L670" s="325" t="s">
        <v>3072</v>
      </c>
      <c r="M670" s="326" t="s">
        <v>226</v>
      </c>
      <c r="N670" s="326" t="s">
        <v>2232</v>
      </c>
      <c r="O670" s="330">
        <v>397.07</v>
      </c>
      <c r="P670" s="330">
        <v>4.0199999999999996</v>
      </c>
      <c r="Q670" s="331">
        <v>7215</v>
      </c>
      <c r="R670" s="330">
        <v>220000</v>
      </c>
      <c r="S670" s="330">
        <v>78000</v>
      </c>
      <c r="T670" s="326" t="s">
        <v>170</v>
      </c>
      <c r="U670" s="326" t="s">
        <v>2040</v>
      </c>
      <c r="V670" s="332">
        <v>72112</v>
      </c>
      <c r="W670" s="333">
        <v>72147</v>
      </c>
    </row>
    <row r="671" spans="1:263" ht="45" customHeight="1" x14ac:dyDescent="0.4">
      <c r="A671" s="323">
        <v>721321</v>
      </c>
      <c r="B671" s="324" t="s">
        <v>4854</v>
      </c>
      <c r="C671" s="325" t="s">
        <v>3048</v>
      </c>
      <c r="D671" s="326" t="s">
        <v>2084</v>
      </c>
      <c r="E671" s="327" t="s">
        <v>4855</v>
      </c>
      <c r="F671" s="327" t="s">
        <v>4856</v>
      </c>
      <c r="G671" s="327" t="s">
        <v>1494</v>
      </c>
      <c r="H671" s="325" t="s">
        <v>3071</v>
      </c>
      <c r="I671" s="325" t="s">
        <v>2900</v>
      </c>
      <c r="J671" s="328">
        <v>72</v>
      </c>
      <c r="K671" s="329">
        <v>7213</v>
      </c>
      <c r="L671" s="325" t="s">
        <v>3073</v>
      </c>
      <c r="M671" s="326" t="s">
        <v>226</v>
      </c>
      <c r="N671" s="326" t="s">
        <v>2232</v>
      </c>
      <c r="O671" s="330">
        <v>373</v>
      </c>
      <c r="P671" s="330">
        <v>4.63</v>
      </c>
      <c r="Q671" s="331">
        <v>7213</v>
      </c>
      <c r="R671" s="330">
        <v>210000</v>
      </c>
      <c r="S671" s="330">
        <v>60000</v>
      </c>
      <c r="T671" s="326" t="s">
        <v>170</v>
      </c>
      <c r="U671" s="326" t="s">
        <v>2040</v>
      </c>
      <c r="V671" s="332">
        <v>72121</v>
      </c>
      <c r="W671" s="333">
        <v>72114</v>
      </c>
    </row>
    <row r="672" spans="1:263" ht="45" customHeight="1" x14ac:dyDescent="0.4">
      <c r="A672" s="323">
        <v>721322</v>
      </c>
      <c r="B672" s="324" t="s">
        <v>4857</v>
      </c>
      <c r="C672" s="325" t="s">
        <v>3074</v>
      </c>
      <c r="D672" s="326" t="s">
        <v>2084</v>
      </c>
      <c r="E672" s="327" t="s">
        <v>1495</v>
      </c>
      <c r="F672" s="327"/>
      <c r="G672" s="327" t="s">
        <v>1496</v>
      </c>
      <c r="H672" s="325" t="s">
        <v>3071</v>
      </c>
      <c r="I672" s="325" t="s">
        <v>2900</v>
      </c>
      <c r="J672" s="328">
        <v>72</v>
      </c>
      <c r="K672" s="329">
        <v>7213</v>
      </c>
      <c r="L672" s="325" t="s">
        <v>3073</v>
      </c>
      <c r="M672" s="326" t="s">
        <v>226</v>
      </c>
      <c r="N672" s="326" t="s">
        <v>2232</v>
      </c>
      <c r="O672" s="330">
        <v>373</v>
      </c>
      <c r="P672" s="330">
        <v>4.63</v>
      </c>
      <c r="Q672" s="331">
        <v>7213</v>
      </c>
      <c r="R672" s="330">
        <v>210000</v>
      </c>
      <c r="S672" s="330">
        <v>60000</v>
      </c>
      <c r="T672" s="326" t="s">
        <v>170</v>
      </c>
      <c r="U672" s="326" t="s">
        <v>2040</v>
      </c>
      <c r="V672" s="332">
        <v>72122</v>
      </c>
      <c r="W672" s="333">
        <v>72114</v>
      </c>
    </row>
    <row r="673" spans="1:23" ht="45" customHeight="1" x14ac:dyDescent="0.4">
      <c r="A673" s="323">
        <v>721421</v>
      </c>
      <c r="B673" s="324" t="s">
        <v>4858</v>
      </c>
      <c r="C673" s="325" t="s">
        <v>3075</v>
      </c>
      <c r="D673" s="326" t="s">
        <v>2084</v>
      </c>
      <c r="E673" s="327" t="s">
        <v>1497</v>
      </c>
      <c r="F673" s="327"/>
      <c r="G673" s="327" t="s">
        <v>3742</v>
      </c>
      <c r="H673" s="325" t="s">
        <v>3071</v>
      </c>
      <c r="I673" s="325" t="s">
        <v>2900</v>
      </c>
      <c r="J673" s="328">
        <v>72</v>
      </c>
      <c r="K673" s="329">
        <v>7214</v>
      </c>
      <c r="L673" s="325" t="s">
        <v>3076</v>
      </c>
      <c r="M673" s="326" t="s">
        <v>226</v>
      </c>
      <c r="N673" s="326" t="s">
        <v>3077</v>
      </c>
      <c r="O673" s="330">
        <v>373</v>
      </c>
      <c r="P673" s="330">
        <v>3.71</v>
      </c>
      <c r="Q673" s="331">
        <v>7214</v>
      </c>
      <c r="R673" s="330">
        <v>88000</v>
      </c>
      <c r="S673" s="330">
        <v>6500</v>
      </c>
      <c r="T673" s="326" t="s">
        <v>170</v>
      </c>
      <c r="U673" s="326" t="s">
        <v>2040</v>
      </c>
      <c r="V673" s="332" t="s">
        <v>3078</v>
      </c>
      <c r="W673" s="333" t="s">
        <v>3079</v>
      </c>
    </row>
    <row r="674" spans="1:23" ht="45" customHeight="1" x14ac:dyDescent="0.4">
      <c r="A674" s="323">
        <v>722345</v>
      </c>
      <c r="B674" s="324" t="s">
        <v>4859</v>
      </c>
      <c r="C674" s="325" t="s">
        <v>3080</v>
      </c>
      <c r="D674" s="326" t="s">
        <v>2084</v>
      </c>
      <c r="E674" s="327" t="s">
        <v>1498</v>
      </c>
      <c r="F674" s="327"/>
      <c r="G674" s="327" t="s">
        <v>1499</v>
      </c>
      <c r="H674" s="325" t="s">
        <v>2986</v>
      </c>
      <c r="I674" s="325" t="s">
        <v>3069</v>
      </c>
      <c r="J674" s="328">
        <v>72</v>
      </c>
      <c r="K674" s="329">
        <v>7220</v>
      </c>
      <c r="L674" s="325" t="s">
        <v>3053</v>
      </c>
      <c r="M674" s="326" t="s">
        <v>226</v>
      </c>
      <c r="N674" s="326" t="s">
        <v>2232</v>
      </c>
      <c r="O674" s="330">
        <v>751</v>
      </c>
      <c r="P674" s="330">
        <v>5.82</v>
      </c>
      <c r="Q674" s="331">
        <v>7220</v>
      </c>
      <c r="R674" s="330">
        <v>110000</v>
      </c>
      <c r="S674" s="330">
        <v>16000</v>
      </c>
      <c r="T674" s="326" t="s">
        <v>170</v>
      </c>
      <c r="U674" s="326" t="s">
        <v>2040</v>
      </c>
      <c r="V674" s="332" t="s">
        <v>3054</v>
      </c>
      <c r="W674" s="333">
        <v>72231</v>
      </c>
    </row>
    <row r="675" spans="1:23" ht="45" customHeight="1" x14ac:dyDescent="0.4">
      <c r="A675" s="323">
        <v>722351</v>
      </c>
      <c r="B675" s="324" t="s">
        <v>4860</v>
      </c>
      <c r="C675" s="325" t="s">
        <v>3081</v>
      </c>
      <c r="D675" s="326" t="s">
        <v>2084</v>
      </c>
      <c r="E675" s="327" t="s">
        <v>1500</v>
      </c>
      <c r="F675" s="327"/>
      <c r="G675" s="327" t="s">
        <v>1501</v>
      </c>
      <c r="H675" s="325" t="s">
        <v>2986</v>
      </c>
      <c r="I675" s="325" t="s">
        <v>3069</v>
      </c>
      <c r="J675" s="328">
        <v>72</v>
      </c>
      <c r="K675" s="329">
        <v>7220</v>
      </c>
      <c r="L675" s="325" t="s">
        <v>3053</v>
      </c>
      <c r="M675" s="326" t="s">
        <v>226</v>
      </c>
      <c r="N675" s="326" t="s">
        <v>2232</v>
      </c>
      <c r="O675" s="330">
        <v>751</v>
      </c>
      <c r="P675" s="330">
        <v>5.82</v>
      </c>
      <c r="Q675" s="331">
        <v>7220</v>
      </c>
      <c r="R675" s="330">
        <v>110000</v>
      </c>
      <c r="S675" s="330">
        <v>16000</v>
      </c>
      <c r="T675" s="326" t="s">
        <v>170</v>
      </c>
      <c r="U675" s="326" t="s">
        <v>2040</v>
      </c>
      <c r="V675" s="332" t="s">
        <v>3054</v>
      </c>
      <c r="W675" s="333">
        <v>72210</v>
      </c>
    </row>
    <row r="676" spans="1:23" ht="45" customHeight="1" x14ac:dyDescent="0.4">
      <c r="A676" s="323">
        <v>722356</v>
      </c>
      <c r="B676" s="324" t="s">
        <v>4861</v>
      </c>
      <c r="C676" s="325" t="s">
        <v>3082</v>
      </c>
      <c r="D676" s="326" t="s">
        <v>2084</v>
      </c>
      <c r="E676" s="327" t="s">
        <v>3744</v>
      </c>
      <c r="F676" s="327"/>
      <c r="G676" s="327" t="s">
        <v>1502</v>
      </c>
      <c r="H676" s="325" t="s">
        <v>2986</v>
      </c>
      <c r="I676" s="325" t="s">
        <v>3069</v>
      </c>
      <c r="J676" s="328">
        <v>72</v>
      </c>
      <c r="K676" s="329">
        <v>7220</v>
      </c>
      <c r="L676" s="325" t="s">
        <v>3053</v>
      </c>
      <c r="M676" s="326" t="s">
        <v>226</v>
      </c>
      <c r="N676" s="326" t="s">
        <v>2232</v>
      </c>
      <c r="O676" s="330">
        <v>751</v>
      </c>
      <c r="P676" s="330">
        <v>5.82</v>
      </c>
      <c r="Q676" s="331">
        <v>7220</v>
      </c>
      <c r="R676" s="330">
        <v>110000</v>
      </c>
      <c r="S676" s="330">
        <v>16000</v>
      </c>
      <c r="T676" s="326" t="s">
        <v>170</v>
      </c>
      <c r="U676" s="326" t="s">
        <v>2040</v>
      </c>
      <c r="V676" s="332" t="s">
        <v>3054</v>
      </c>
      <c r="W676" s="333">
        <v>72241</v>
      </c>
    </row>
    <row r="677" spans="1:23" ht="45" customHeight="1" x14ac:dyDescent="0.4">
      <c r="A677" s="335">
        <v>723242</v>
      </c>
      <c r="B677" s="324" t="s">
        <v>4862</v>
      </c>
      <c r="C677" s="325" t="s">
        <v>3869</v>
      </c>
      <c r="D677" s="326" t="s">
        <v>2084</v>
      </c>
      <c r="E677" s="327" t="s">
        <v>3745</v>
      </c>
      <c r="F677" s="327" t="s">
        <v>4863</v>
      </c>
      <c r="G677" s="327" t="s">
        <v>383</v>
      </c>
      <c r="H677" s="325" t="e">
        <v>#N/A</v>
      </c>
      <c r="I677" s="325" t="e">
        <v>#N/A</v>
      </c>
      <c r="J677" s="326">
        <v>72</v>
      </c>
      <c r="K677" s="329">
        <v>7232</v>
      </c>
      <c r="L677" s="325" t="s">
        <v>3870</v>
      </c>
      <c r="M677" s="326" t="s">
        <v>226</v>
      </c>
      <c r="N677" s="326" t="s">
        <v>3029</v>
      </c>
      <c r="O677" s="330">
        <v>65</v>
      </c>
      <c r="P677" s="330">
        <v>1.57</v>
      </c>
      <c r="Q677" s="331">
        <v>7232</v>
      </c>
      <c r="R677" s="330">
        <v>6500</v>
      </c>
      <c r="S677" s="330">
        <v>600</v>
      </c>
      <c r="T677" s="326" t="s">
        <v>170</v>
      </c>
      <c r="U677" s="326" t="s">
        <v>2040</v>
      </c>
      <c r="V677" s="332">
        <v>72350</v>
      </c>
      <c r="W677" s="333">
        <v>72340</v>
      </c>
    </row>
    <row r="678" spans="1:23" ht="64.5" customHeight="1" x14ac:dyDescent="0.4">
      <c r="A678" s="323">
        <v>723385</v>
      </c>
      <c r="B678" s="324" t="s">
        <v>4864</v>
      </c>
      <c r="C678" s="325" t="s">
        <v>3083</v>
      </c>
      <c r="D678" s="326" t="s">
        <v>2084</v>
      </c>
      <c r="E678" s="327" t="s">
        <v>1503</v>
      </c>
      <c r="F678" s="327"/>
      <c r="G678" s="327" t="s">
        <v>1504</v>
      </c>
      <c r="H678" s="325" t="s">
        <v>2986</v>
      </c>
      <c r="I678" s="325" t="s">
        <v>3069</v>
      </c>
      <c r="J678" s="328">
        <v>72</v>
      </c>
      <c r="K678" s="329">
        <v>7233</v>
      </c>
      <c r="L678" s="325" t="s">
        <v>2920</v>
      </c>
      <c r="M678" s="326" t="s">
        <v>226</v>
      </c>
      <c r="N678" s="326"/>
      <c r="O678" s="330">
        <v>182.86</v>
      </c>
      <c r="P678" s="330">
        <v>6.93</v>
      </c>
      <c r="Q678" s="331">
        <v>7233</v>
      </c>
      <c r="R678" s="330">
        <v>16000</v>
      </c>
      <c r="S678" s="330">
        <v>3500</v>
      </c>
      <c r="T678" s="326" t="s">
        <v>170</v>
      </c>
      <c r="U678" s="326" t="s">
        <v>2040</v>
      </c>
      <c r="V678" s="332" t="s">
        <v>228</v>
      </c>
      <c r="W678" s="333">
        <v>72250</v>
      </c>
    </row>
    <row r="679" spans="1:23" ht="45" customHeight="1" x14ac:dyDescent="0.4">
      <c r="A679" s="323">
        <v>723388</v>
      </c>
      <c r="B679" s="324" t="s">
        <v>4865</v>
      </c>
      <c r="C679" s="325" t="s">
        <v>3084</v>
      </c>
      <c r="D679" s="326" t="s">
        <v>2084</v>
      </c>
      <c r="E679" s="327" t="s">
        <v>1505</v>
      </c>
      <c r="F679" s="327"/>
      <c r="G679" s="327" t="s">
        <v>1506</v>
      </c>
      <c r="H679" s="325" t="s">
        <v>2986</v>
      </c>
      <c r="I679" s="325" t="s">
        <v>3069</v>
      </c>
      <c r="J679" s="328">
        <v>72</v>
      </c>
      <c r="K679" s="329">
        <v>7233</v>
      </c>
      <c r="L679" s="325" t="s">
        <v>2920</v>
      </c>
      <c r="M679" s="326" t="s">
        <v>226</v>
      </c>
      <c r="N679" s="326"/>
      <c r="O679" s="330">
        <v>182.86</v>
      </c>
      <c r="P679" s="330">
        <v>6.93</v>
      </c>
      <c r="Q679" s="331">
        <v>7233</v>
      </c>
      <c r="R679" s="330">
        <v>16000</v>
      </c>
      <c r="S679" s="330">
        <v>3500</v>
      </c>
      <c r="T679" s="326" t="s">
        <v>170</v>
      </c>
      <c r="U679" s="326" t="s">
        <v>2040</v>
      </c>
      <c r="V679" s="332" t="s">
        <v>228</v>
      </c>
      <c r="W679" s="333">
        <v>72250</v>
      </c>
    </row>
    <row r="680" spans="1:23" ht="45" customHeight="1" x14ac:dyDescent="0.4">
      <c r="A680" s="323">
        <v>723392</v>
      </c>
      <c r="B680" s="324" t="s">
        <v>4866</v>
      </c>
      <c r="C680" s="325" t="s">
        <v>3085</v>
      </c>
      <c r="D680" s="326" t="s">
        <v>2084</v>
      </c>
      <c r="E680" s="327" t="s">
        <v>1507</v>
      </c>
      <c r="F680" s="327"/>
      <c r="G680" s="327" t="s">
        <v>1508</v>
      </c>
      <c r="H680" s="325" t="s">
        <v>2035</v>
      </c>
      <c r="I680" s="325" t="s">
        <v>228</v>
      </c>
      <c r="J680" s="328">
        <v>72</v>
      </c>
      <c r="K680" s="329">
        <v>7234</v>
      </c>
      <c r="L680" s="325" t="s">
        <v>3086</v>
      </c>
      <c r="M680" s="326" t="s">
        <v>226</v>
      </c>
      <c r="N680" s="326"/>
      <c r="O680" s="330">
        <v>831.63</v>
      </c>
      <c r="P680" s="330">
        <v>8.39</v>
      </c>
      <c r="Q680" s="331">
        <v>7234</v>
      </c>
      <c r="R680" s="330">
        <v>4000</v>
      </c>
      <c r="S680" s="330">
        <v>780</v>
      </c>
      <c r="T680" s="326" t="s">
        <v>170</v>
      </c>
      <c r="U680" s="326" t="s">
        <v>2040</v>
      </c>
      <c r="V680" s="332" t="s">
        <v>228</v>
      </c>
      <c r="W680" s="333">
        <v>72320</v>
      </c>
    </row>
    <row r="681" spans="1:23" ht="45" customHeight="1" x14ac:dyDescent="0.4">
      <c r="A681" s="323">
        <v>723510</v>
      </c>
      <c r="B681" s="324" t="s">
        <v>4867</v>
      </c>
      <c r="C681" s="325" t="s">
        <v>1509</v>
      </c>
      <c r="D681" s="326" t="s">
        <v>2045</v>
      </c>
      <c r="E681" s="327" t="s">
        <v>4868</v>
      </c>
      <c r="F681" s="327"/>
      <c r="G681" s="327" t="s">
        <v>383</v>
      </c>
      <c r="H681" s="325" t="e">
        <v>#N/A</v>
      </c>
      <c r="I681" s="325" t="e">
        <v>#N/A</v>
      </c>
      <c r="J681" s="328">
        <v>72</v>
      </c>
      <c r="K681" s="329">
        <v>7236</v>
      </c>
      <c r="L681" s="325" t="s">
        <v>3087</v>
      </c>
      <c r="M681" s="326" t="s">
        <v>226</v>
      </c>
      <c r="N681" s="326"/>
      <c r="O681" s="330">
        <v>32.770000000000003</v>
      </c>
      <c r="P681" s="330">
        <v>0.4</v>
      </c>
      <c r="Q681" s="331">
        <v>7236</v>
      </c>
      <c r="R681" s="330">
        <v>6100</v>
      </c>
      <c r="S681" s="330">
        <v>1600</v>
      </c>
      <c r="T681" s="326" t="s">
        <v>170</v>
      </c>
      <c r="U681" s="326" t="s">
        <v>2040</v>
      </c>
      <c r="V681" s="332"/>
      <c r="W681" s="333"/>
    </row>
    <row r="682" spans="1:23" ht="45" customHeight="1" x14ac:dyDescent="0.4">
      <c r="A682" s="323">
        <v>723600</v>
      </c>
      <c r="B682" s="324" t="s">
        <v>4869</v>
      </c>
      <c r="C682" s="325" t="s">
        <v>3871</v>
      </c>
      <c r="D682" s="326" t="s">
        <v>2084</v>
      </c>
      <c r="E682" s="327" t="s">
        <v>4870</v>
      </c>
      <c r="F682" s="327"/>
      <c r="G682" s="327" t="s">
        <v>383</v>
      </c>
      <c r="H682" s="325"/>
      <c r="I682" s="325"/>
      <c r="J682" s="328">
        <v>72</v>
      </c>
      <c r="K682" s="329">
        <v>7231</v>
      </c>
      <c r="L682" s="325" t="s">
        <v>3872</v>
      </c>
      <c r="M682" s="326" t="s">
        <v>226</v>
      </c>
      <c r="N682" s="326"/>
      <c r="O682" s="330">
        <v>167.93</v>
      </c>
      <c r="P682" s="330">
        <v>3.02</v>
      </c>
      <c r="Q682" s="331">
        <v>7231</v>
      </c>
      <c r="R682" s="330">
        <v>0</v>
      </c>
      <c r="S682" s="330">
        <v>0</v>
      </c>
      <c r="T682" s="326" t="s">
        <v>170</v>
      </c>
      <c r="U682" s="326" t="s">
        <v>2040</v>
      </c>
      <c r="V682" s="332"/>
      <c r="W682" s="333"/>
    </row>
    <row r="683" spans="1:23" ht="45" customHeight="1" x14ac:dyDescent="0.4">
      <c r="A683" s="323">
        <v>723610</v>
      </c>
      <c r="B683" s="324" t="s">
        <v>4871</v>
      </c>
      <c r="C683" s="325" t="s">
        <v>3088</v>
      </c>
      <c r="D683" s="326" t="s">
        <v>2045</v>
      </c>
      <c r="E683" s="327" t="s">
        <v>4872</v>
      </c>
      <c r="F683" s="327"/>
      <c r="G683" s="327" t="s">
        <v>383</v>
      </c>
      <c r="H683" s="325" t="e">
        <v>#N/A</v>
      </c>
      <c r="I683" s="325" t="e">
        <v>#N/A</v>
      </c>
      <c r="J683" s="326">
        <v>72</v>
      </c>
      <c r="K683" s="329">
        <v>7235</v>
      </c>
      <c r="L683" s="325" t="s">
        <v>3089</v>
      </c>
      <c r="M683" s="326" t="s">
        <v>2076</v>
      </c>
      <c r="N683" s="326"/>
      <c r="O683" s="330">
        <v>46729.36</v>
      </c>
      <c r="P683" s="330">
        <v>287.22000000000003</v>
      </c>
      <c r="Q683" s="331">
        <v>7235</v>
      </c>
      <c r="R683" s="330">
        <v>8</v>
      </c>
      <c r="S683" s="330">
        <v>1</v>
      </c>
      <c r="T683" s="326" t="s">
        <v>170</v>
      </c>
      <c r="U683" s="326" t="s">
        <v>2040</v>
      </c>
      <c r="V683" s="332"/>
      <c r="W683" s="333"/>
    </row>
    <row r="684" spans="1:23" ht="45" customHeight="1" x14ac:dyDescent="0.4">
      <c r="A684" s="323">
        <v>724415</v>
      </c>
      <c r="B684" s="324" t="s">
        <v>4873</v>
      </c>
      <c r="C684" s="325" t="s">
        <v>3090</v>
      </c>
      <c r="D684" s="326" t="s">
        <v>2084</v>
      </c>
      <c r="E684" s="327" t="s">
        <v>1510</v>
      </c>
      <c r="F684" s="327" t="s">
        <v>4874</v>
      </c>
      <c r="G684" s="327" t="s">
        <v>1511</v>
      </c>
      <c r="H684" s="325" t="s">
        <v>2900</v>
      </c>
      <c r="I684" s="325" t="s">
        <v>3091</v>
      </c>
      <c r="J684" s="328">
        <v>72</v>
      </c>
      <c r="K684" s="329">
        <v>7240</v>
      </c>
      <c r="L684" s="325" t="s">
        <v>3092</v>
      </c>
      <c r="M684" s="326" t="s">
        <v>226</v>
      </c>
      <c r="N684" s="326" t="s">
        <v>2232</v>
      </c>
      <c r="O684" s="330">
        <v>379.49</v>
      </c>
      <c r="P684" s="330">
        <v>6.23</v>
      </c>
      <c r="Q684" s="331">
        <v>7240</v>
      </c>
      <c r="R684" s="330">
        <v>98000</v>
      </c>
      <c r="S684" s="330">
        <v>3400</v>
      </c>
      <c r="T684" s="326" t="s">
        <v>170</v>
      </c>
      <c r="U684" s="326" t="s">
        <v>2040</v>
      </c>
      <c r="V684" s="332">
        <v>72410</v>
      </c>
      <c r="W684" s="333" t="s">
        <v>3093</v>
      </c>
    </row>
    <row r="685" spans="1:23" ht="45" customHeight="1" x14ac:dyDescent="0.4">
      <c r="A685" s="323">
        <v>724417</v>
      </c>
      <c r="B685" s="324" t="s">
        <v>4875</v>
      </c>
      <c r="C685" s="325" t="s">
        <v>3094</v>
      </c>
      <c r="D685" s="326" t="s">
        <v>2084</v>
      </c>
      <c r="E685" s="327" t="s">
        <v>1512</v>
      </c>
      <c r="F685" s="327"/>
      <c r="G685" s="327" t="s">
        <v>1513</v>
      </c>
      <c r="H685" s="325" t="s">
        <v>2986</v>
      </c>
      <c r="I685" s="325" t="s">
        <v>3069</v>
      </c>
      <c r="J685" s="328">
        <v>72</v>
      </c>
      <c r="K685" s="329">
        <v>7241</v>
      </c>
      <c r="L685" s="325" t="s">
        <v>3095</v>
      </c>
      <c r="M685" s="326" t="s">
        <v>226</v>
      </c>
      <c r="N685" s="326" t="s">
        <v>2232</v>
      </c>
      <c r="O685" s="330">
        <v>379.49</v>
      </c>
      <c r="P685" s="330">
        <v>8.02</v>
      </c>
      <c r="Q685" s="331">
        <v>7241</v>
      </c>
      <c r="R685" s="330">
        <v>190000</v>
      </c>
      <c r="S685" s="330">
        <v>18000</v>
      </c>
      <c r="T685" s="326" t="s">
        <v>170</v>
      </c>
      <c r="U685" s="326" t="s">
        <v>2040</v>
      </c>
      <c r="V685" s="332">
        <v>72412</v>
      </c>
      <c r="W685" s="333" t="s">
        <v>3093</v>
      </c>
    </row>
    <row r="686" spans="1:23" ht="45" customHeight="1" x14ac:dyDescent="0.4">
      <c r="A686" s="323">
        <v>724433</v>
      </c>
      <c r="B686" s="324" t="s">
        <v>4876</v>
      </c>
      <c r="C686" s="325" t="s">
        <v>3096</v>
      </c>
      <c r="D686" s="326" t="s">
        <v>2084</v>
      </c>
      <c r="E686" s="327" t="s">
        <v>1514</v>
      </c>
      <c r="F686" s="327"/>
      <c r="G686" s="327" t="s">
        <v>1515</v>
      </c>
      <c r="H686" s="325" t="s">
        <v>2900</v>
      </c>
      <c r="I686" s="325" t="s">
        <v>3097</v>
      </c>
      <c r="J686" s="328">
        <v>72</v>
      </c>
      <c r="K686" s="329">
        <v>7242</v>
      </c>
      <c r="L686" s="325" t="s">
        <v>3098</v>
      </c>
      <c r="M686" s="326" t="s">
        <v>226</v>
      </c>
      <c r="N686" s="326" t="s">
        <v>2232</v>
      </c>
      <c r="O686" s="330">
        <v>465.39</v>
      </c>
      <c r="P686" s="330">
        <v>4.83</v>
      </c>
      <c r="Q686" s="331">
        <v>7242</v>
      </c>
      <c r="R686" s="330">
        <v>790000</v>
      </c>
      <c r="S686" s="330">
        <v>60000</v>
      </c>
      <c r="T686" s="326" t="s">
        <v>170</v>
      </c>
      <c r="U686" s="326" t="s">
        <v>2040</v>
      </c>
      <c r="V686" s="332" t="s">
        <v>228</v>
      </c>
      <c r="W686" s="333" t="s">
        <v>228</v>
      </c>
    </row>
    <row r="687" spans="1:23" ht="45" customHeight="1" x14ac:dyDescent="0.4">
      <c r="A687" s="323">
        <v>725100</v>
      </c>
      <c r="B687" s="324" t="s">
        <v>4877</v>
      </c>
      <c r="C687" s="325" t="s">
        <v>3873</v>
      </c>
      <c r="D687" s="326" t="s">
        <v>2084</v>
      </c>
      <c r="E687" s="327" t="s">
        <v>4878</v>
      </c>
      <c r="F687" s="327"/>
      <c r="G687" s="327" t="s">
        <v>383</v>
      </c>
      <c r="H687" s="325"/>
      <c r="I687" s="325"/>
      <c r="J687" s="326">
        <v>72</v>
      </c>
      <c r="K687" s="329">
        <v>7250</v>
      </c>
      <c r="L687" s="325" t="s">
        <v>3101</v>
      </c>
      <c r="M687" s="326" t="s">
        <v>226</v>
      </c>
      <c r="N687" s="326" t="s">
        <v>2232</v>
      </c>
      <c r="O687" s="330">
        <v>510</v>
      </c>
      <c r="P687" s="330">
        <v>2.5299999999999998</v>
      </c>
      <c r="Q687" s="331">
        <v>7250</v>
      </c>
      <c r="R687" s="330">
        <v>0</v>
      </c>
      <c r="S687" s="330">
        <v>0</v>
      </c>
      <c r="T687" s="326" t="s">
        <v>170</v>
      </c>
      <c r="U687" s="326" t="s">
        <v>2040</v>
      </c>
      <c r="V687" s="332"/>
      <c r="W687" s="333"/>
    </row>
    <row r="688" spans="1:23" ht="45" customHeight="1" x14ac:dyDescent="0.4">
      <c r="A688" s="323">
        <v>725121</v>
      </c>
      <c r="B688" s="324" t="s">
        <v>4879</v>
      </c>
      <c r="C688" s="325" t="s">
        <v>1516</v>
      </c>
      <c r="D688" s="326" t="s">
        <v>2045</v>
      </c>
      <c r="E688" s="327" t="s">
        <v>1517</v>
      </c>
      <c r="F688" s="327"/>
      <c r="G688" s="327" t="s">
        <v>1518</v>
      </c>
      <c r="H688" s="325" t="s">
        <v>2035</v>
      </c>
      <c r="I688" s="325" t="s">
        <v>228</v>
      </c>
      <c r="J688" s="328">
        <v>72</v>
      </c>
      <c r="K688" s="329">
        <v>7251</v>
      </c>
      <c r="L688" s="325" t="s">
        <v>3099</v>
      </c>
      <c r="M688" s="326" t="s">
        <v>226</v>
      </c>
      <c r="N688" s="326"/>
      <c r="O688" s="330">
        <v>13.91</v>
      </c>
      <c r="P688" s="330">
        <v>0.19</v>
      </c>
      <c r="Q688" s="331">
        <v>7251</v>
      </c>
      <c r="R688" s="330">
        <v>61000</v>
      </c>
      <c r="S688" s="330">
        <v>1500</v>
      </c>
      <c r="T688" s="326" t="s">
        <v>170</v>
      </c>
      <c r="U688" s="326" t="s">
        <v>2040</v>
      </c>
      <c r="V688" s="332">
        <v>72520</v>
      </c>
      <c r="W688" s="333">
        <v>72511</v>
      </c>
    </row>
    <row r="689" spans="1:23" ht="45" customHeight="1" x14ac:dyDescent="0.4">
      <c r="A689" s="323">
        <v>725513</v>
      </c>
      <c r="B689" s="324" t="s">
        <v>4880</v>
      </c>
      <c r="C689" s="325" t="s">
        <v>3100</v>
      </c>
      <c r="D689" s="326" t="s">
        <v>2084</v>
      </c>
      <c r="E689" s="327" t="s">
        <v>1519</v>
      </c>
      <c r="F689" s="327" t="s">
        <v>4881</v>
      </c>
      <c r="G689" s="327" t="s">
        <v>1520</v>
      </c>
      <c r="H689" s="325" t="s">
        <v>2986</v>
      </c>
      <c r="I689" s="325" t="s">
        <v>3069</v>
      </c>
      <c r="J689" s="328">
        <v>72</v>
      </c>
      <c r="K689" s="329">
        <v>7250</v>
      </c>
      <c r="L689" s="325" t="s">
        <v>3101</v>
      </c>
      <c r="M689" s="326" t="s">
        <v>226</v>
      </c>
      <c r="N689" s="326" t="s">
        <v>2232</v>
      </c>
      <c r="O689" s="330">
        <v>510</v>
      </c>
      <c r="P689" s="330">
        <v>2.5299999999999998</v>
      </c>
      <c r="Q689" s="331">
        <v>7250</v>
      </c>
      <c r="R689" s="330">
        <v>0</v>
      </c>
      <c r="S689" s="330">
        <v>0</v>
      </c>
      <c r="T689" s="326" t="s">
        <v>170</v>
      </c>
      <c r="U689" s="326" t="s">
        <v>2040</v>
      </c>
      <c r="V689" s="332">
        <v>72510</v>
      </c>
      <c r="W689" s="333" t="s">
        <v>228</v>
      </c>
    </row>
    <row r="690" spans="1:23" ht="45" customHeight="1" x14ac:dyDescent="0.4">
      <c r="A690" s="323">
        <v>725517</v>
      </c>
      <c r="B690" s="324" t="s">
        <v>4882</v>
      </c>
      <c r="C690" s="325" t="s">
        <v>3102</v>
      </c>
      <c r="D690" s="326" t="s">
        <v>2084</v>
      </c>
      <c r="E690" s="327" t="s">
        <v>1521</v>
      </c>
      <c r="F690" s="327"/>
      <c r="G690" s="327" t="s">
        <v>1522</v>
      </c>
      <c r="H690" s="325" t="s">
        <v>2986</v>
      </c>
      <c r="I690" s="325" t="s">
        <v>3069</v>
      </c>
      <c r="J690" s="328">
        <v>72</v>
      </c>
      <c r="K690" s="329">
        <v>7250</v>
      </c>
      <c r="L690" s="325" t="s">
        <v>3101</v>
      </c>
      <c r="M690" s="326" t="s">
        <v>226</v>
      </c>
      <c r="N690" s="326" t="s">
        <v>2232</v>
      </c>
      <c r="O690" s="330">
        <v>510</v>
      </c>
      <c r="P690" s="330">
        <v>2.5299999999999998</v>
      </c>
      <c r="Q690" s="331">
        <v>7250</v>
      </c>
      <c r="R690" s="330">
        <v>0</v>
      </c>
      <c r="S690" s="330">
        <v>0</v>
      </c>
      <c r="T690" s="326" t="s">
        <v>170</v>
      </c>
      <c r="U690" s="326" t="s">
        <v>2040</v>
      </c>
      <c r="V690" s="332">
        <v>72510</v>
      </c>
      <c r="W690" s="333">
        <v>72510</v>
      </c>
    </row>
    <row r="691" spans="1:23" ht="45" customHeight="1" x14ac:dyDescent="0.4">
      <c r="A691" s="323">
        <v>730142</v>
      </c>
      <c r="B691" s="324" t="s">
        <v>140</v>
      </c>
      <c r="C691" s="325" t="s">
        <v>3103</v>
      </c>
      <c r="D691" s="326" t="s">
        <v>2084</v>
      </c>
      <c r="E691" s="327" t="s">
        <v>4883</v>
      </c>
      <c r="F691" s="327"/>
      <c r="G691" s="327" t="s">
        <v>1523</v>
      </c>
      <c r="H691" s="325" t="s">
        <v>2035</v>
      </c>
      <c r="I691" s="325" t="s">
        <v>2133</v>
      </c>
      <c r="J691" s="328">
        <v>73</v>
      </c>
      <c r="K691" s="329">
        <v>7311</v>
      </c>
      <c r="L691" s="325" t="s">
        <v>3104</v>
      </c>
      <c r="M691" s="326" t="s">
        <v>226</v>
      </c>
      <c r="N691" s="326"/>
      <c r="O691" s="330">
        <v>1015</v>
      </c>
      <c r="P691" s="330">
        <v>6.14</v>
      </c>
      <c r="Q691" s="331">
        <v>7311</v>
      </c>
      <c r="R691" s="330">
        <v>44000</v>
      </c>
      <c r="S691" s="330">
        <v>9900</v>
      </c>
      <c r="T691" s="326" t="s">
        <v>170</v>
      </c>
      <c r="U691" s="326" t="s">
        <v>2040</v>
      </c>
      <c r="V691" s="332">
        <v>73010</v>
      </c>
      <c r="W691" s="333">
        <v>73010</v>
      </c>
    </row>
    <row r="692" spans="1:23" ht="45" customHeight="1" x14ac:dyDescent="0.4">
      <c r="A692" s="323">
        <v>730145</v>
      </c>
      <c r="B692" s="324" t="s">
        <v>4884</v>
      </c>
      <c r="C692" s="325" t="s">
        <v>3105</v>
      </c>
      <c r="D692" s="326" t="s">
        <v>2084</v>
      </c>
      <c r="E692" s="327" t="s">
        <v>3746</v>
      </c>
      <c r="F692" s="327" t="s">
        <v>4885</v>
      </c>
      <c r="G692" s="327" t="s">
        <v>383</v>
      </c>
      <c r="H692" s="325" t="s">
        <v>2133</v>
      </c>
      <c r="I692" s="325" t="s">
        <v>2035</v>
      </c>
      <c r="J692" s="328">
        <v>14</v>
      </c>
      <c r="K692" s="329">
        <v>1411</v>
      </c>
      <c r="L692" s="325" t="s">
        <v>2134</v>
      </c>
      <c r="M692" s="326" t="s">
        <v>226</v>
      </c>
      <c r="N692" s="326"/>
      <c r="O692" s="330">
        <v>657.89</v>
      </c>
      <c r="P692" s="330">
        <v>4.88</v>
      </c>
      <c r="Q692" s="331">
        <v>1411</v>
      </c>
      <c r="R692" s="330">
        <v>36000</v>
      </c>
      <c r="S692" s="330">
        <v>13000</v>
      </c>
      <c r="T692" s="326" t="s">
        <v>170</v>
      </c>
      <c r="U692" s="326" t="s">
        <v>2040</v>
      </c>
      <c r="V692" s="332"/>
      <c r="W692" s="333"/>
    </row>
    <row r="693" spans="1:23" ht="45" customHeight="1" x14ac:dyDescent="0.4">
      <c r="A693" s="323">
        <v>730147</v>
      </c>
      <c r="B693" s="324" t="s">
        <v>4886</v>
      </c>
      <c r="C693" s="325" t="s">
        <v>3106</v>
      </c>
      <c r="D693" s="326" t="s">
        <v>2084</v>
      </c>
      <c r="E693" s="327" t="s">
        <v>1524</v>
      </c>
      <c r="F693" s="327"/>
      <c r="G693" s="327" t="s">
        <v>1525</v>
      </c>
      <c r="H693" s="325" t="s">
        <v>2133</v>
      </c>
      <c r="I693" s="325" t="s">
        <v>2035</v>
      </c>
      <c r="J693" s="328">
        <v>44</v>
      </c>
      <c r="K693" s="329">
        <v>4421</v>
      </c>
      <c r="L693" s="325" t="s">
        <v>2704</v>
      </c>
      <c r="M693" s="326" t="s">
        <v>226</v>
      </c>
      <c r="N693" s="326" t="s">
        <v>2602</v>
      </c>
      <c r="O693" s="330">
        <v>330</v>
      </c>
      <c r="P693" s="330">
        <v>2.79</v>
      </c>
      <c r="Q693" s="331">
        <v>4421</v>
      </c>
      <c r="R693" s="330">
        <v>1500000</v>
      </c>
      <c r="S693" s="330">
        <v>18000</v>
      </c>
      <c r="T693" s="326" t="s">
        <v>170</v>
      </c>
      <c r="U693" s="326" t="s">
        <v>2040</v>
      </c>
      <c r="V693" s="332" t="s">
        <v>228</v>
      </c>
      <c r="W693" s="333">
        <v>44110</v>
      </c>
    </row>
    <row r="694" spans="1:23" ht="45" customHeight="1" x14ac:dyDescent="0.4">
      <c r="A694" s="323">
        <v>730151</v>
      </c>
      <c r="B694" s="324" t="s">
        <v>3109</v>
      </c>
      <c r="C694" s="325" t="s">
        <v>3107</v>
      </c>
      <c r="D694" s="326" t="s">
        <v>2084</v>
      </c>
      <c r="E694" s="327" t="s">
        <v>1526</v>
      </c>
      <c r="F694" s="327" t="s">
        <v>4887</v>
      </c>
      <c r="G694" s="327" t="s">
        <v>1527</v>
      </c>
      <c r="H694" s="325" t="s">
        <v>3108</v>
      </c>
      <c r="I694" s="325" t="s">
        <v>2133</v>
      </c>
      <c r="J694" s="328">
        <v>73</v>
      </c>
      <c r="K694" s="329">
        <v>7381</v>
      </c>
      <c r="L694" s="325" t="s">
        <v>3109</v>
      </c>
      <c r="M694" s="326" t="s">
        <v>226</v>
      </c>
      <c r="N694" s="326"/>
      <c r="O694" s="330">
        <v>1887.16</v>
      </c>
      <c r="P694" s="330">
        <v>1.96</v>
      </c>
      <c r="Q694" s="331">
        <v>7381</v>
      </c>
      <c r="R694" s="330">
        <v>2000</v>
      </c>
      <c r="S694" s="330">
        <v>770</v>
      </c>
      <c r="T694" s="326" t="s">
        <v>170</v>
      </c>
      <c r="U694" s="326" t="s">
        <v>2040</v>
      </c>
      <c r="V694" s="332">
        <v>73012</v>
      </c>
      <c r="W694" s="333" t="s">
        <v>228</v>
      </c>
    </row>
    <row r="695" spans="1:23" ht="45" customHeight="1" x14ac:dyDescent="0.4">
      <c r="A695" s="323">
        <v>730182</v>
      </c>
      <c r="B695" s="324" t="s">
        <v>4888</v>
      </c>
      <c r="C695" s="325" t="s">
        <v>3110</v>
      </c>
      <c r="D695" s="326" t="s">
        <v>2084</v>
      </c>
      <c r="E695" s="327" t="s">
        <v>1528</v>
      </c>
      <c r="F695" s="327"/>
      <c r="G695" s="327" t="s">
        <v>1529</v>
      </c>
      <c r="H695" s="325" t="s">
        <v>2986</v>
      </c>
      <c r="I695" s="325" t="s">
        <v>3111</v>
      </c>
      <c r="J695" s="328">
        <v>73</v>
      </c>
      <c r="K695" s="329">
        <v>7321</v>
      </c>
      <c r="L695" s="325" t="s">
        <v>3112</v>
      </c>
      <c r="M695" s="326" t="s">
        <v>226</v>
      </c>
      <c r="N695" s="326"/>
      <c r="O695" s="330">
        <v>154.1</v>
      </c>
      <c r="P695" s="330">
        <v>4.93</v>
      </c>
      <c r="Q695" s="331">
        <v>7321</v>
      </c>
      <c r="R695" s="330">
        <v>45000</v>
      </c>
      <c r="S695" s="330">
        <v>1800</v>
      </c>
      <c r="T695" s="326" t="s">
        <v>170</v>
      </c>
      <c r="U695" s="326" t="s">
        <v>2040</v>
      </c>
      <c r="V695" s="332">
        <v>73021</v>
      </c>
      <c r="W695" s="333">
        <v>73030</v>
      </c>
    </row>
    <row r="696" spans="1:23" ht="45" customHeight="1" x14ac:dyDescent="0.4">
      <c r="A696" s="323">
        <v>730186</v>
      </c>
      <c r="B696" s="324" t="s">
        <v>4889</v>
      </c>
      <c r="C696" s="325" t="s">
        <v>3113</v>
      </c>
      <c r="D696" s="326" t="s">
        <v>2084</v>
      </c>
      <c r="E696" s="327" t="s">
        <v>1530</v>
      </c>
      <c r="F696" s="327"/>
      <c r="G696" s="327" t="s">
        <v>1531</v>
      </c>
      <c r="H696" s="325" t="s">
        <v>2986</v>
      </c>
      <c r="I696" s="325" t="s">
        <v>3111</v>
      </c>
      <c r="J696" s="328">
        <v>73</v>
      </c>
      <c r="K696" s="329">
        <v>7321</v>
      </c>
      <c r="L696" s="325" t="s">
        <v>3112</v>
      </c>
      <c r="M696" s="326" t="s">
        <v>226</v>
      </c>
      <c r="N696" s="326"/>
      <c r="O696" s="330">
        <v>154.1</v>
      </c>
      <c r="P696" s="330">
        <v>4.93</v>
      </c>
      <c r="Q696" s="331">
        <v>7321</v>
      </c>
      <c r="R696" s="330">
        <v>45000</v>
      </c>
      <c r="S696" s="330">
        <v>1800</v>
      </c>
      <c r="T696" s="326" t="s">
        <v>170</v>
      </c>
      <c r="U696" s="326" t="s">
        <v>2040</v>
      </c>
      <c r="V696" s="332">
        <v>73021</v>
      </c>
      <c r="W696" s="333">
        <v>73030</v>
      </c>
    </row>
    <row r="697" spans="1:23" ht="45" customHeight="1" x14ac:dyDescent="0.4">
      <c r="A697" s="323">
        <v>730275</v>
      </c>
      <c r="B697" s="324" t="s">
        <v>4890</v>
      </c>
      <c r="C697" s="325" t="s">
        <v>3114</v>
      </c>
      <c r="D697" s="326" t="s">
        <v>2045</v>
      </c>
      <c r="E697" s="327" t="s">
        <v>1532</v>
      </c>
      <c r="F697" s="327"/>
      <c r="G697" s="327" t="s">
        <v>1533</v>
      </c>
      <c r="H697" s="325" t="s">
        <v>2085</v>
      </c>
      <c r="I697" s="325" t="s">
        <v>2035</v>
      </c>
      <c r="J697" s="328">
        <v>73</v>
      </c>
      <c r="K697" s="329">
        <v>7384</v>
      </c>
      <c r="L697" s="325" t="s">
        <v>3115</v>
      </c>
      <c r="M697" s="326" t="s">
        <v>226</v>
      </c>
      <c r="N697" s="326"/>
      <c r="O697" s="330">
        <v>68.680000000000007</v>
      </c>
      <c r="P697" s="330">
        <v>0.69</v>
      </c>
      <c r="Q697" s="331">
        <v>7384</v>
      </c>
      <c r="R697" s="330">
        <v>15000</v>
      </c>
      <c r="S697" s="330">
        <v>300</v>
      </c>
      <c r="T697" s="326" t="s">
        <v>170</v>
      </c>
      <c r="U697" s="326" t="s">
        <v>2040</v>
      </c>
      <c r="V697" s="332">
        <v>73070</v>
      </c>
      <c r="W697" s="333">
        <v>73066</v>
      </c>
    </row>
    <row r="698" spans="1:23" ht="45" customHeight="1" x14ac:dyDescent="0.4">
      <c r="A698" s="323">
        <v>730277</v>
      </c>
      <c r="B698" s="324" t="s">
        <v>3117</v>
      </c>
      <c r="C698" s="325" t="s">
        <v>3116</v>
      </c>
      <c r="D698" s="326" t="s">
        <v>2084</v>
      </c>
      <c r="E698" s="327" t="s">
        <v>1534</v>
      </c>
      <c r="F698" s="327"/>
      <c r="G698" s="327" t="s">
        <v>1535</v>
      </c>
      <c r="H698" s="325" t="s">
        <v>2085</v>
      </c>
      <c r="I698" s="325" t="s">
        <v>2035</v>
      </c>
      <c r="J698" s="328">
        <v>73</v>
      </c>
      <c r="K698" s="329">
        <v>7341</v>
      </c>
      <c r="L698" s="325" t="s">
        <v>3117</v>
      </c>
      <c r="M698" s="326" t="s">
        <v>226</v>
      </c>
      <c r="N698" s="326"/>
      <c r="O698" s="330">
        <v>185.8</v>
      </c>
      <c r="P698" s="330">
        <v>3.27</v>
      </c>
      <c r="Q698" s="331">
        <v>7341</v>
      </c>
      <c r="R698" s="330">
        <v>1800</v>
      </c>
      <c r="S698" s="330">
        <v>300</v>
      </c>
      <c r="T698" s="326" t="s">
        <v>170</v>
      </c>
      <c r="U698" s="326" t="s">
        <v>2040</v>
      </c>
      <c r="V698" s="332">
        <v>73013</v>
      </c>
      <c r="W698" s="333">
        <v>73067</v>
      </c>
    </row>
    <row r="699" spans="1:23" ht="45" customHeight="1" x14ac:dyDescent="0.4">
      <c r="A699" s="323">
        <v>730441</v>
      </c>
      <c r="B699" s="324" t="s">
        <v>3121</v>
      </c>
      <c r="C699" s="325" t="s">
        <v>3118</v>
      </c>
      <c r="D699" s="326" t="s">
        <v>2084</v>
      </c>
      <c r="E699" s="327" t="s">
        <v>1536</v>
      </c>
      <c r="F699" s="327"/>
      <c r="G699" s="327" t="s">
        <v>1537</v>
      </c>
      <c r="H699" s="325" t="s">
        <v>3119</v>
      </c>
      <c r="I699" s="325" t="s">
        <v>3120</v>
      </c>
      <c r="J699" s="328">
        <v>73</v>
      </c>
      <c r="K699" s="329">
        <v>7351</v>
      </c>
      <c r="L699" s="325" t="s">
        <v>3121</v>
      </c>
      <c r="M699" s="326" t="s">
        <v>226</v>
      </c>
      <c r="N699" s="326"/>
      <c r="O699" s="330">
        <v>261.89</v>
      </c>
      <c r="P699" s="330">
        <v>5.38</v>
      </c>
      <c r="Q699" s="331">
        <v>7351</v>
      </c>
      <c r="R699" s="330">
        <v>100000</v>
      </c>
      <c r="S699" s="330">
        <v>16000</v>
      </c>
      <c r="T699" s="326" t="s">
        <v>170</v>
      </c>
      <c r="U699" s="326" t="s">
        <v>2040</v>
      </c>
      <c r="V699" s="332">
        <v>74025</v>
      </c>
      <c r="W699" s="333">
        <v>74088</v>
      </c>
    </row>
    <row r="700" spans="1:23" ht="45" customHeight="1" x14ac:dyDescent="0.4">
      <c r="A700" s="323">
        <v>730443</v>
      </c>
      <c r="B700" s="324" t="s">
        <v>4891</v>
      </c>
      <c r="C700" s="325" t="s">
        <v>3122</v>
      </c>
      <c r="D700" s="326" t="s">
        <v>2084</v>
      </c>
      <c r="E700" s="327" t="s">
        <v>1538</v>
      </c>
      <c r="F700" s="327"/>
      <c r="G700" s="327" t="s">
        <v>1539</v>
      </c>
      <c r="H700" s="325" t="s">
        <v>3123</v>
      </c>
      <c r="I700" s="325" t="s">
        <v>228</v>
      </c>
      <c r="J700" s="328">
        <v>73</v>
      </c>
      <c r="K700" s="329">
        <v>7344</v>
      </c>
      <c r="L700" s="325" t="s">
        <v>3124</v>
      </c>
      <c r="M700" s="326" t="s">
        <v>226</v>
      </c>
      <c r="N700" s="326"/>
      <c r="O700" s="330">
        <v>290.56</v>
      </c>
      <c r="P700" s="330">
        <v>6.52</v>
      </c>
      <c r="Q700" s="331">
        <v>7344</v>
      </c>
      <c r="R700" s="330">
        <v>24000</v>
      </c>
      <c r="S700" s="330">
        <v>3500</v>
      </c>
      <c r="T700" s="326" t="s">
        <v>170</v>
      </c>
      <c r="U700" s="326" t="s">
        <v>2040</v>
      </c>
      <c r="V700" s="332" t="s">
        <v>3125</v>
      </c>
      <c r="W700" s="333">
        <v>73085</v>
      </c>
    </row>
    <row r="701" spans="1:23" ht="45" customHeight="1" x14ac:dyDescent="0.4">
      <c r="A701" s="323">
        <v>730551</v>
      </c>
      <c r="B701" s="324" t="s">
        <v>4892</v>
      </c>
      <c r="C701" s="325" t="s">
        <v>3126</v>
      </c>
      <c r="D701" s="326" t="s">
        <v>2084</v>
      </c>
      <c r="E701" s="327" t="s">
        <v>1540</v>
      </c>
      <c r="F701" s="327" t="s">
        <v>4893</v>
      </c>
      <c r="G701" s="327" t="s">
        <v>1541</v>
      </c>
      <c r="H701" s="325" t="s">
        <v>2986</v>
      </c>
      <c r="I701" s="325" t="s">
        <v>3111</v>
      </c>
      <c r="J701" s="328">
        <v>73</v>
      </c>
      <c r="K701" s="329">
        <v>7342</v>
      </c>
      <c r="L701" s="325" t="s">
        <v>3127</v>
      </c>
      <c r="M701" s="326" t="s">
        <v>226</v>
      </c>
      <c r="N701" s="326"/>
      <c r="O701" s="330">
        <v>187.29</v>
      </c>
      <c r="P701" s="330">
        <v>3.33</v>
      </c>
      <c r="Q701" s="331">
        <v>7342</v>
      </c>
      <c r="R701" s="330">
        <v>56000</v>
      </c>
      <c r="S701" s="330">
        <v>2800</v>
      </c>
      <c r="T701" s="326" t="s">
        <v>170</v>
      </c>
      <c r="U701" s="326" t="s">
        <v>2040</v>
      </c>
      <c r="V701" s="332">
        <v>73030</v>
      </c>
      <c r="W701" s="333">
        <v>73040</v>
      </c>
    </row>
    <row r="702" spans="1:23" ht="45" customHeight="1" x14ac:dyDescent="0.4">
      <c r="A702" s="323">
        <v>730652</v>
      </c>
      <c r="B702" s="324" t="s">
        <v>4894</v>
      </c>
      <c r="C702" s="325" t="s">
        <v>3128</v>
      </c>
      <c r="D702" s="326" t="s">
        <v>2084</v>
      </c>
      <c r="E702" s="327" t="s">
        <v>3747</v>
      </c>
      <c r="F702" s="327"/>
      <c r="G702" s="327" t="s">
        <v>1542</v>
      </c>
      <c r="H702" s="325" t="s">
        <v>2986</v>
      </c>
      <c r="I702" s="325" t="s">
        <v>3111</v>
      </c>
      <c r="J702" s="328">
        <v>73</v>
      </c>
      <c r="K702" s="329">
        <v>7342</v>
      </c>
      <c r="L702" s="325" t="s">
        <v>3127</v>
      </c>
      <c r="M702" s="326" t="s">
        <v>226</v>
      </c>
      <c r="N702" s="326"/>
      <c r="O702" s="330">
        <v>187.29</v>
      </c>
      <c r="P702" s="330">
        <v>3.33</v>
      </c>
      <c r="Q702" s="331">
        <v>7342</v>
      </c>
      <c r="R702" s="330">
        <v>56000</v>
      </c>
      <c r="S702" s="330">
        <v>2800</v>
      </c>
      <c r="T702" s="326" t="s">
        <v>170</v>
      </c>
      <c r="U702" s="326" t="s">
        <v>2040</v>
      </c>
      <c r="V702" s="332">
        <v>73030</v>
      </c>
      <c r="W702" s="333">
        <v>73040</v>
      </c>
    </row>
    <row r="703" spans="1:23" ht="45" customHeight="1" x14ac:dyDescent="0.4">
      <c r="A703" s="323">
        <v>730660</v>
      </c>
      <c r="B703" s="324" t="s">
        <v>4895</v>
      </c>
      <c r="C703" s="325" t="s">
        <v>1543</v>
      </c>
      <c r="D703" s="326" t="s">
        <v>2084</v>
      </c>
      <c r="E703" s="327" t="s">
        <v>4896</v>
      </c>
      <c r="F703" s="327"/>
      <c r="G703" s="327" t="s">
        <v>1544</v>
      </c>
      <c r="H703" s="325" t="s">
        <v>2570</v>
      </c>
      <c r="I703" s="325" t="s">
        <v>228</v>
      </c>
      <c r="J703" s="328">
        <v>73</v>
      </c>
      <c r="K703" s="329">
        <v>7383</v>
      </c>
      <c r="L703" s="325" t="s">
        <v>2231</v>
      </c>
      <c r="M703" s="326" t="s">
        <v>226</v>
      </c>
      <c r="N703" s="326" t="s">
        <v>2232</v>
      </c>
      <c r="O703" s="330">
        <v>410.48</v>
      </c>
      <c r="P703" s="330">
        <v>6.49</v>
      </c>
      <c r="Q703" s="331">
        <v>7383</v>
      </c>
      <c r="R703" s="330">
        <v>9300</v>
      </c>
      <c r="S703" s="330">
        <v>1100</v>
      </c>
      <c r="T703" s="326" t="s">
        <v>170</v>
      </c>
      <c r="U703" s="326" t="s">
        <v>2040</v>
      </c>
      <c r="V703" s="332">
        <v>73050</v>
      </c>
      <c r="W703" s="333">
        <v>73065</v>
      </c>
    </row>
    <row r="704" spans="1:23" ht="45" customHeight="1" x14ac:dyDescent="0.4">
      <c r="A704" s="323">
        <v>730711</v>
      </c>
      <c r="B704" s="324" t="s">
        <v>4897</v>
      </c>
      <c r="C704" s="325" t="s">
        <v>3129</v>
      </c>
      <c r="D704" s="326" t="s">
        <v>2084</v>
      </c>
      <c r="E704" s="327" t="s">
        <v>1545</v>
      </c>
      <c r="F704" s="327"/>
      <c r="G704" s="327" t="s">
        <v>1546</v>
      </c>
      <c r="H704" s="325" t="s">
        <v>2986</v>
      </c>
      <c r="I704" s="325" t="s">
        <v>3111</v>
      </c>
      <c r="J704" s="328">
        <v>73</v>
      </c>
      <c r="K704" s="329">
        <v>7342</v>
      </c>
      <c r="L704" s="325" t="s">
        <v>3127</v>
      </c>
      <c r="M704" s="326" t="s">
        <v>226</v>
      </c>
      <c r="N704" s="326"/>
      <c r="O704" s="330">
        <v>187.29</v>
      </c>
      <c r="P704" s="330">
        <v>3.33</v>
      </c>
      <c r="Q704" s="331">
        <v>7342</v>
      </c>
      <c r="R704" s="330">
        <v>56000</v>
      </c>
      <c r="S704" s="330">
        <v>2800</v>
      </c>
      <c r="T704" s="326" t="s">
        <v>170</v>
      </c>
      <c r="U704" s="326" t="s">
        <v>2040</v>
      </c>
      <c r="V704" s="332">
        <v>73030</v>
      </c>
      <c r="W704" s="333">
        <v>73040</v>
      </c>
    </row>
    <row r="705" spans="1:23" ht="45" customHeight="1" x14ac:dyDescent="0.4">
      <c r="A705" s="323">
        <v>730713</v>
      </c>
      <c r="B705" s="324" t="s">
        <v>4898</v>
      </c>
      <c r="C705" s="325" t="s">
        <v>3130</v>
      </c>
      <c r="D705" s="326" t="s">
        <v>2084</v>
      </c>
      <c r="E705" s="327" t="s">
        <v>1547</v>
      </c>
      <c r="F705" s="327"/>
      <c r="G705" s="327" t="s">
        <v>1548</v>
      </c>
      <c r="H705" s="325" t="s">
        <v>2986</v>
      </c>
      <c r="I705" s="325" t="s">
        <v>3111</v>
      </c>
      <c r="J705" s="328">
        <v>73</v>
      </c>
      <c r="K705" s="329">
        <v>7342</v>
      </c>
      <c r="L705" s="325" t="s">
        <v>3127</v>
      </c>
      <c r="M705" s="326" t="s">
        <v>226</v>
      </c>
      <c r="N705" s="326"/>
      <c r="O705" s="330">
        <v>187.29</v>
      </c>
      <c r="P705" s="330">
        <v>3.33</v>
      </c>
      <c r="Q705" s="331">
        <v>7342</v>
      </c>
      <c r="R705" s="330">
        <v>56000</v>
      </c>
      <c r="S705" s="330">
        <v>2800</v>
      </c>
      <c r="T705" s="326" t="s">
        <v>170</v>
      </c>
      <c r="U705" s="326" t="s">
        <v>2040</v>
      </c>
      <c r="V705" s="332">
        <v>73030</v>
      </c>
      <c r="W705" s="333">
        <v>73040</v>
      </c>
    </row>
    <row r="706" spans="1:23" ht="45" customHeight="1" x14ac:dyDescent="0.4">
      <c r="A706" s="323">
        <v>730717</v>
      </c>
      <c r="B706" s="324" t="s">
        <v>4899</v>
      </c>
      <c r="C706" s="325" t="s">
        <v>1549</v>
      </c>
      <c r="D706" s="326" t="s">
        <v>2084</v>
      </c>
      <c r="E706" s="327" t="s">
        <v>1550</v>
      </c>
      <c r="F706" s="327" t="s">
        <v>4900</v>
      </c>
      <c r="G706" s="327" t="s">
        <v>1551</v>
      </c>
      <c r="H706" s="325" t="s">
        <v>3131</v>
      </c>
      <c r="I706" s="325" t="s">
        <v>228</v>
      </c>
      <c r="J706" s="328">
        <v>73</v>
      </c>
      <c r="K706" s="329">
        <v>7343</v>
      </c>
      <c r="L706" s="325" t="s">
        <v>3132</v>
      </c>
      <c r="M706" s="326" t="s">
        <v>226</v>
      </c>
      <c r="N706" s="326"/>
      <c r="O706" s="330">
        <v>164.93</v>
      </c>
      <c r="P706" s="330">
        <v>4.22</v>
      </c>
      <c r="Q706" s="331">
        <v>7343</v>
      </c>
      <c r="R706" s="330">
        <v>20000</v>
      </c>
      <c r="S706" s="330">
        <v>5400</v>
      </c>
      <c r="T706" s="326" t="s">
        <v>170</v>
      </c>
      <c r="U706" s="326" t="s">
        <v>2040</v>
      </c>
      <c r="V706" s="332">
        <v>74020</v>
      </c>
      <c r="W706" s="333">
        <v>73013</v>
      </c>
    </row>
    <row r="707" spans="1:23" ht="45" customHeight="1" x14ac:dyDescent="0.4">
      <c r="A707" s="323">
        <v>730740</v>
      </c>
      <c r="B707" s="324" t="s">
        <v>4901</v>
      </c>
      <c r="C707" s="325" t="s">
        <v>3874</v>
      </c>
      <c r="D707" s="326" t="s">
        <v>2084</v>
      </c>
      <c r="E707" s="327" t="s">
        <v>4902</v>
      </c>
      <c r="F707" s="327"/>
      <c r="G707" s="327" t="s">
        <v>383</v>
      </c>
      <c r="H707" s="325"/>
      <c r="I707" s="325"/>
      <c r="J707" s="328">
        <v>73</v>
      </c>
      <c r="K707" s="329">
        <v>7389</v>
      </c>
      <c r="L707" s="325" t="s">
        <v>3875</v>
      </c>
      <c r="M707" s="326" t="s">
        <v>226</v>
      </c>
      <c r="N707" s="326" t="s">
        <v>3029</v>
      </c>
      <c r="O707" s="330">
        <v>255.45</v>
      </c>
      <c r="P707" s="330">
        <v>1.66</v>
      </c>
      <c r="Q707" s="331">
        <v>7389</v>
      </c>
      <c r="R707" s="330">
        <v>5500</v>
      </c>
      <c r="S707" s="330">
        <v>1100</v>
      </c>
      <c r="T707" s="326" t="s">
        <v>170</v>
      </c>
      <c r="U707" s="326" t="s">
        <v>2040</v>
      </c>
      <c r="V707" s="332"/>
      <c r="W707" s="333"/>
    </row>
    <row r="708" spans="1:23" ht="45" customHeight="1" x14ac:dyDescent="0.4">
      <c r="A708" s="323">
        <v>730771</v>
      </c>
      <c r="B708" s="324" t="s">
        <v>4903</v>
      </c>
      <c r="C708" s="325" t="s">
        <v>3133</v>
      </c>
      <c r="D708" s="326" t="s">
        <v>2084</v>
      </c>
      <c r="E708" s="327" t="s">
        <v>4904</v>
      </c>
      <c r="F708" s="327"/>
      <c r="G708" s="327" t="s">
        <v>1552</v>
      </c>
      <c r="H708" s="325" t="s">
        <v>3134</v>
      </c>
      <c r="I708" s="325" t="s">
        <v>228</v>
      </c>
      <c r="J708" s="328">
        <v>73</v>
      </c>
      <c r="K708" s="329">
        <v>7361</v>
      </c>
      <c r="L708" s="325" t="s">
        <v>3135</v>
      </c>
      <c r="M708" s="326" t="s">
        <v>226</v>
      </c>
      <c r="N708" s="326" t="s">
        <v>3136</v>
      </c>
      <c r="O708" s="330">
        <v>436.4</v>
      </c>
      <c r="P708" s="330">
        <v>4.72</v>
      </c>
      <c r="Q708" s="331">
        <v>7361</v>
      </c>
      <c r="R708" s="330">
        <v>33000</v>
      </c>
      <c r="S708" s="330">
        <v>8286</v>
      </c>
      <c r="T708" s="326" t="s">
        <v>170</v>
      </c>
      <c r="U708" s="326" t="s">
        <v>2040</v>
      </c>
      <c r="V708" s="332">
        <v>73017</v>
      </c>
      <c r="W708" s="333">
        <v>73083</v>
      </c>
    </row>
    <row r="709" spans="1:23" ht="45" customHeight="1" x14ac:dyDescent="0.4">
      <c r="A709" s="323">
        <v>730772</v>
      </c>
      <c r="B709" s="324" t="s">
        <v>3138</v>
      </c>
      <c r="C709" s="325" t="s">
        <v>3137</v>
      </c>
      <c r="D709" s="326" t="s">
        <v>2084</v>
      </c>
      <c r="E709" s="327" t="s">
        <v>1553</v>
      </c>
      <c r="F709" s="327"/>
      <c r="G709" s="327" t="s">
        <v>1554</v>
      </c>
      <c r="H709" s="325" t="s">
        <v>3134</v>
      </c>
      <c r="I709" s="325" t="s">
        <v>228</v>
      </c>
      <c r="J709" s="328">
        <v>73</v>
      </c>
      <c r="K709" s="329">
        <v>7362</v>
      </c>
      <c r="L709" s="325" t="s">
        <v>3138</v>
      </c>
      <c r="M709" s="326" t="s">
        <v>226</v>
      </c>
      <c r="N709" s="326"/>
      <c r="O709" s="330">
        <v>215.46</v>
      </c>
      <c r="P709" s="330">
        <v>4.99</v>
      </c>
      <c r="Q709" s="331">
        <v>7362</v>
      </c>
      <c r="R709" s="330">
        <v>28000</v>
      </c>
      <c r="S709" s="330">
        <v>94</v>
      </c>
      <c r="T709" s="326" t="s">
        <v>170</v>
      </c>
      <c r="U709" s="326" t="s">
        <v>2040</v>
      </c>
      <c r="V709" s="332">
        <v>73018</v>
      </c>
      <c r="W709" s="333" t="s">
        <v>228</v>
      </c>
    </row>
    <row r="710" spans="1:23" ht="45" customHeight="1" x14ac:dyDescent="0.4">
      <c r="A710" s="323">
        <v>730773</v>
      </c>
      <c r="B710" s="324" t="s">
        <v>4905</v>
      </c>
      <c r="C710" s="325" t="s">
        <v>3139</v>
      </c>
      <c r="D710" s="326" t="s">
        <v>2084</v>
      </c>
      <c r="E710" s="327" t="s">
        <v>1555</v>
      </c>
      <c r="F710" s="327"/>
      <c r="G710" s="327" t="s">
        <v>1556</v>
      </c>
      <c r="H710" s="325" t="s">
        <v>3134</v>
      </c>
      <c r="I710" s="325" t="s">
        <v>228</v>
      </c>
      <c r="J710" s="328">
        <v>73</v>
      </c>
      <c r="K710" s="329">
        <v>7361</v>
      </c>
      <c r="L710" s="325" t="s">
        <v>3135</v>
      </c>
      <c r="M710" s="326" t="s">
        <v>226</v>
      </c>
      <c r="N710" s="326" t="s">
        <v>3136</v>
      </c>
      <c r="O710" s="330">
        <v>436.4</v>
      </c>
      <c r="P710" s="330">
        <v>4.72</v>
      </c>
      <c r="Q710" s="331">
        <v>7361</v>
      </c>
      <c r="R710" s="330">
        <v>33000</v>
      </c>
      <c r="S710" s="330">
        <v>8286</v>
      </c>
      <c r="T710" s="326" t="s">
        <v>170</v>
      </c>
      <c r="U710" s="326" t="s">
        <v>2040</v>
      </c>
      <c r="V710" s="332">
        <v>73017</v>
      </c>
      <c r="W710" s="333">
        <v>73083</v>
      </c>
    </row>
    <row r="711" spans="1:23" ht="45" customHeight="1" x14ac:dyDescent="0.4">
      <c r="A711" s="323">
        <v>730774</v>
      </c>
      <c r="B711" s="324" t="s">
        <v>4906</v>
      </c>
      <c r="C711" s="325" t="s">
        <v>3140</v>
      </c>
      <c r="D711" s="326" t="s">
        <v>2084</v>
      </c>
      <c r="E711" s="327" t="s">
        <v>1557</v>
      </c>
      <c r="F711" s="327"/>
      <c r="G711" s="327" t="s">
        <v>1558</v>
      </c>
      <c r="H711" s="325" t="s">
        <v>3134</v>
      </c>
      <c r="I711" s="325" t="s">
        <v>2888</v>
      </c>
      <c r="J711" s="328">
        <v>73</v>
      </c>
      <c r="K711" s="329">
        <v>7361</v>
      </c>
      <c r="L711" s="325" t="s">
        <v>3135</v>
      </c>
      <c r="M711" s="326" t="s">
        <v>226</v>
      </c>
      <c r="N711" s="326" t="s">
        <v>3136</v>
      </c>
      <c r="O711" s="330">
        <v>436.4</v>
      </c>
      <c r="P711" s="330">
        <v>4.72</v>
      </c>
      <c r="Q711" s="331">
        <v>7361</v>
      </c>
      <c r="R711" s="330">
        <v>33000</v>
      </c>
      <c r="S711" s="330">
        <v>8286</v>
      </c>
      <c r="T711" s="326" t="s">
        <v>170</v>
      </c>
      <c r="U711" s="326" t="s">
        <v>2040</v>
      </c>
      <c r="V711" s="332">
        <v>73017</v>
      </c>
      <c r="W711" s="333">
        <v>73083</v>
      </c>
    </row>
    <row r="712" spans="1:23" ht="45" customHeight="1" x14ac:dyDescent="0.4">
      <c r="A712" s="323">
        <v>730781</v>
      </c>
      <c r="B712" s="324" t="s">
        <v>4907</v>
      </c>
      <c r="C712" s="325" t="s">
        <v>3141</v>
      </c>
      <c r="D712" s="326" t="s">
        <v>2084</v>
      </c>
      <c r="E712" s="327" t="s">
        <v>1559</v>
      </c>
      <c r="F712" s="327"/>
      <c r="G712" s="327" t="s">
        <v>1560</v>
      </c>
      <c r="H712" s="325" t="s">
        <v>3142</v>
      </c>
      <c r="I712" s="325" t="s">
        <v>3143</v>
      </c>
      <c r="J712" s="328">
        <v>73</v>
      </c>
      <c r="K712" s="329">
        <v>7353</v>
      </c>
      <c r="L712" s="325" t="s">
        <v>3144</v>
      </c>
      <c r="M712" s="326" t="s">
        <v>226</v>
      </c>
      <c r="N712" s="326" t="s">
        <v>2232</v>
      </c>
      <c r="O712" s="330">
        <v>206.75</v>
      </c>
      <c r="P712" s="330">
        <v>6.59</v>
      </c>
      <c r="Q712" s="331">
        <v>7353</v>
      </c>
      <c r="R712" s="330">
        <v>23100</v>
      </c>
      <c r="S712" s="330">
        <v>1100</v>
      </c>
      <c r="T712" s="326" t="s">
        <v>170</v>
      </c>
      <c r="U712" s="326" t="s">
        <v>2040</v>
      </c>
      <c r="V712" s="332" t="s">
        <v>228</v>
      </c>
      <c r="W712" s="333" t="s">
        <v>228</v>
      </c>
    </row>
    <row r="713" spans="1:23" ht="45" customHeight="1" x14ac:dyDescent="0.4">
      <c r="A713" s="323">
        <v>730782</v>
      </c>
      <c r="B713" s="324" t="s">
        <v>4908</v>
      </c>
      <c r="C713" s="325" t="s">
        <v>3145</v>
      </c>
      <c r="D713" s="326" t="s">
        <v>2084</v>
      </c>
      <c r="E713" s="327" t="s">
        <v>1561</v>
      </c>
      <c r="F713" s="327"/>
      <c r="G713" s="327" t="s">
        <v>1562</v>
      </c>
      <c r="H713" s="325" t="s">
        <v>3142</v>
      </c>
      <c r="I713" s="325" t="s">
        <v>3146</v>
      </c>
      <c r="J713" s="328">
        <v>73</v>
      </c>
      <c r="K713" s="329">
        <v>7353</v>
      </c>
      <c r="L713" s="325" t="s">
        <v>3144</v>
      </c>
      <c r="M713" s="326" t="s">
        <v>226</v>
      </c>
      <c r="N713" s="326" t="s">
        <v>2232</v>
      </c>
      <c r="O713" s="330">
        <v>206.75</v>
      </c>
      <c r="P713" s="330">
        <v>6.59</v>
      </c>
      <c r="Q713" s="331">
        <v>7353</v>
      </c>
      <c r="R713" s="330">
        <v>23100</v>
      </c>
      <c r="S713" s="330">
        <v>1100</v>
      </c>
      <c r="T713" s="326" t="s">
        <v>170</v>
      </c>
      <c r="U713" s="326" t="s">
        <v>2040</v>
      </c>
      <c r="V713" s="332" t="s">
        <v>228</v>
      </c>
      <c r="W713" s="333" t="s">
        <v>228</v>
      </c>
    </row>
    <row r="714" spans="1:23" ht="45" customHeight="1" x14ac:dyDescent="0.4">
      <c r="A714" s="323">
        <v>730783</v>
      </c>
      <c r="B714" s="324" t="s">
        <v>4909</v>
      </c>
      <c r="C714" s="325" t="s">
        <v>3147</v>
      </c>
      <c r="D714" s="326" t="s">
        <v>2084</v>
      </c>
      <c r="E714" s="327" t="s">
        <v>1563</v>
      </c>
      <c r="F714" s="327"/>
      <c r="G714" s="327" t="s">
        <v>1564</v>
      </c>
      <c r="H714" s="325" t="s">
        <v>3142</v>
      </c>
      <c r="I714" s="325" t="s">
        <v>3119</v>
      </c>
      <c r="J714" s="328">
        <v>73</v>
      </c>
      <c r="K714" s="329">
        <v>7353</v>
      </c>
      <c r="L714" s="325" t="s">
        <v>3144</v>
      </c>
      <c r="M714" s="326" t="s">
        <v>226</v>
      </c>
      <c r="N714" s="326" t="s">
        <v>2232</v>
      </c>
      <c r="O714" s="330">
        <v>206.75</v>
      </c>
      <c r="P714" s="330">
        <v>6.59</v>
      </c>
      <c r="Q714" s="331">
        <v>7353</v>
      </c>
      <c r="R714" s="330">
        <v>23100</v>
      </c>
      <c r="S714" s="330">
        <v>1100</v>
      </c>
      <c r="T714" s="326" t="s">
        <v>170</v>
      </c>
      <c r="U714" s="326" t="s">
        <v>2040</v>
      </c>
      <c r="V714" s="332" t="s">
        <v>228</v>
      </c>
      <c r="W714" s="333" t="s">
        <v>228</v>
      </c>
    </row>
    <row r="715" spans="1:23" ht="45" customHeight="1" x14ac:dyDescent="0.4">
      <c r="A715" s="323">
        <v>730787</v>
      </c>
      <c r="B715" s="324" t="s">
        <v>4910</v>
      </c>
      <c r="C715" s="325" t="s">
        <v>3148</v>
      </c>
      <c r="D715" s="326" t="s">
        <v>2084</v>
      </c>
      <c r="E715" s="327" t="s">
        <v>1565</v>
      </c>
      <c r="F715" s="327"/>
      <c r="G715" s="327" t="s">
        <v>1566</v>
      </c>
      <c r="H715" s="325" t="s">
        <v>3142</v>
      </c>
      <c r="I715" s="325" t="s">
        <v>3119</v>
      </c>
      <c r="J715" s="328">
        <v>73</v>
      </c>
      <c r="K715" s="329">
        <v>7352</v>
      </c>
      <c r="L715" s="325" t="s">
        <v>3149</v>
      </c>
      <c r="M715" s="326" t="s">
        <v>226</v>
      </c>
      <c r="N715" s="326" t="s">
        <v>2232</v>
      </c>
      <c r="O715" s="330">
        <v>420</v>
      </c>
      <c r="P715" s="330">
        <v>5.09</v>
      </c>
      <c r="Q715" s="331">
        <v>7352</v>
      </c>
      <c r="R715" s="330">
        <v>280000</v>
      </c>
      <c r="S715" s="330">
        <v>30000</v>
      </c>
      <c r="T715" s="326" t="s">
        <v>170</v>
      </c>
      <c r="U715" s="326" t="s">
        <v>2040</v>
      </c>
      <c r="V715" s="332">
        <v>73046</v>
      </c>
      <c r="W715" s="333">
        <v>73061</v>
      </c>
    </row>
    <row r="716" spans="1:23" ht="45" customHeight="1" x14ac:dyDescent="0.4">
      <c r="A716" s="323">
        <v>730789</v>
      </c>
      <c r="B716" s="324" t="s">
        <v>4911</v>
      </c>
      <c r="C716" s="325" t="s">
        <v>3150</v>
      </c>
      <c r="D716" s="326" t="s">
        <v>2084</v>
      </c>
      <c r="E716" s="327" t="s">
        <v>1567</v>
      </c>
      <c r="F716" s="327" t="s">
        <v>4912</v>
      </c>
      <c r="G716" s="327" t="s">
        <v>1568</v>
      </c>
      <c r="H716" s="325" t="s">
        <v>3142</v>
      </c>
      <c r="I716" s="325" t="s">
        <v>3119</v>
      </c>
      <c r="J716" s="328">
        <v>73</v>
      </c>
      <c r="K716" s="329">
        <v>7371</v>
      </c>
      <c r="L716" s="325" t="s">
        <v>3151</v>
      </c>
      <c r="M716" s="326" t="s">
        <v>226</v>
      </c>
      <c r="N716" s="326" t="s">
        <v>2232</v>
      </c>
      <c r="O716" s="330">
        <v>507</v>
      </c>
      <c r="P716" s="330">
        <v>3.14</v>
      </c>
      <c r="Q716" s="331">
        <v>7371</v>
      </c>
      <c r="R716" s="330">
        <v>51000</v>
      </c>
      <c r="S716" s="330">
        <v>14000</v>
      </c>
      <c r="T716" s="326" t="s">
        <v>170</v>
      </c>
      <c r="U716" s="326" t="s">
        <v>2040</v>
      </c>
      <c r="V716" s="332">
        <v>74016</v>
      </c>
      <c r="W716" s="333">
        <v>73045</v>
      </c>
    </row>
    <row r="717" spans="1:23" ht="45" customHeight="1" x14ac:dyDescent="0.4">
      <c r="A717" s="335">
        <v>730801</v>
      </c>
      <c r="B717" s="324" t="s">
        <v>4913</v>
      </c>
      <c r="C717" s="325" t="s">
        <v>4914</v>
      </c>
      <c r="D717" s="326" t="s">
        <v>2084</v>
      </c>
      <c r="E717" s="327" t="s">
        <v>4915</v>
      </c>
      <c r="F717" s="327"/>
      <c r="G717" s="327" t="s">
        <v>383</v>
      </c>
      <c r="H717" s="325" t="e">
        <v>#N/A</v>
      </c>
      <c r="I717" s="325" t="e">
        <v>#N/A</v>
      </c>
      <c r="J717" s="328">
        <v>99</v>
      </c>
      <c r="K717" s="329">
        <v>7386</v>
      </c>
      <c r="L717" s="325" t="s">
        <v>4916</v>
      </c>
      <c r="M717" s="326" t="s">
        <v>226</v>
      </c>
      <c r="N717" s="326"/>
      <c r="O717" s="330">
        <v>280.85000000000002</v>
      </c>
      <c r="P717" s="330">
        <v>0</v>
      </c>
      <c r="Q717" s="331">
        <v>7386</v>
      </c>
      <c r="R717" s="330">
        <v>0</v>
      </c>
      <c r="S717" s="330">
        <v>0</v>
      </c>
      <c r="T717" s="326" t="s">
        <v>170</v>
      </c>
      <c r="U717" s="326" t="s">
        <v>2040</v>
      </c>
      <c r="V717" s="332"/>
      <c r="W717" s="333"/>
    </row>
    <row r="718" spans="1:23" ht="45" customHeight="1" x14ac:dyDescent="0.4">
      <c r="A718" s="323">
        <v>730831</v>
      </c>
      <c r="B718" s="324" t="s">
        <v>4917</v>
      </c>
      <c r="C718" s="325" t="s">
        <v>3152</v>
      </c>
      <c r="D718" s="326" t="s">
        <v>2084</v>
      </c>
      <c r="E718" s="327" t="s">
        <v>1569</v>
      </c>
      <c r="F718" s="327"/>
      <c r="G718" s="327" t="s">
        <v>1570</v>
      </c>
      <c r="H718" s="325" t="s">
        <v>3044</v>
      </c>
      <c r="I718" s="325" t="s">
        <v>228</v>
      </c>
      <c r="J718" s="328">
        <v>73</v>
      </c>
      <c r="K718" s="329">
        <v>7312</v>
      </c>
      <c r="L718" s="325" t="s">
        <v>3045</v>
      </c>
      <c r="M718" s="326" t="s">
        <v>226</v>
      </c>
      <c r="N718" s="326" t="s">
        <v>2232</v>
      </c>
      <c r="O718" s="330">
        <v>401.62</v>
      </c>
      <c r="P718" s="330">
        <v>7.89</v>
      </c>
      <c r="Q718" s="331">
        <v>7312</v>
      </c>
      <c r="R718" s="330">
        <v>220000</v>
      </c>
      <c r="S718" s="330">
        <v>22000</v>
      </c>
      <c r="T718" s="326" t="s">
        <v>170</v>
      </c>
      <c r="U718" s="326" t="s">
        <v>2040</v>
      </c>
      <c r="V718" s="332">
        <v>73015</v>
      </c>
      <c r="W718" s="333" t="s">
        <v>3046</v>
      </c>
    </row>
    <row r="719" spans="1:23" ht="45" customHeight="1" x14ac:dyDescent="0.4">
      <c r="A719" s="323">
        <v>730832</v>
      </c>
      <c r="B719" s="324" t="s">
        <v>4918</v>
      </c>
      <c r="C719" s="325" t="s">
        <v>3153</v>
      </c>
      <c r="D719" s="326" t="s">
        <v>2084</v>
      </c>
      <c r="E719" s="327" t="s">
        <v>1571</v>
      </c>
      <c r="F719" s="327"/>
      <c r="G719" s="327" t="s">
        <v>1572</v>
      </c>
      <c r="H719" s="325" t="s">
        <v>3044</v>
      </c>
      <c r="I719" s="325" t="s">
        <v>228</v>
      </c>
      <c r="J719" s="328">
        <v>73</v>
      </c>
      <c r="K719" s="329">
        <v>7313</v>
      </c>
      <c r="L719" s="325" t="s">
        <v>3154</v>
      </c>
      <c r="M719" s="326" t="s">
        <v>226</v>
      </c>
      <c r="N719" s="326"/>
      <c r="O719" s="330">
        <v>288.43</v>
      </c>
      <c r="P719" s="330">
        <v>7.4</v>
      </c>
      <c r="Q719" s="331">
        <v>7313</v>
      </c>
      <c r="R719" s="330">
        <v>51000</v>
      </c>
      <c r="S719" s="330">
        <v>5800</v>
      </c>
      <c r="T719" s="326" t="s">
        <v>170</v>
      </c>
      <c r="U719" s="326" t="s">
        <v>2040</v>
      </c>
      <c r="V719" s="332">
        <v>73016</v>
      </c>
      <c r="W719" s="333">
        <v>73020</v>
      </c>
    </row>
    <row r="720" spans="1:23" ht="45" customHeight="1" x14ac:dyDescent="0.4">
      <c r="A720" s="323">
        <v>730834</v>
      </c>
      <c r="B720" s="324" t="s">
        <v>4919</v>
      </c>
      <c r="C720" s="325" t="s">
        <v>3155</v>
      </c>
      <c r="D720" s="326" t="s">
        <v>2084</v>
      </c>
      <c r="E720" s="327" t="s">
        <v>4920</v>
      </c>
      <c r="F720" s="327" t="s">
        <v>4921</v>
      </c>
      <c r="G720" s="327" t="s">
        <v>1573</v>
      </c>
      <c r="H720" s="325" t="s">
        <v>3044</v>
      </c>
      <c r="I720" s="325" t="s">
        <v>228</v>
      </c>
      <c r="J720" s="328">
        <v>14</v>
      </c>
      <c r="K720" s="329">
        <v>1498</v>
      </c>
      <c r="L720" s="325" t="s">
        <v>3156</v>
      </c>
      <c r="M720" s="326" t="s">
        <v>226</v>
      </c>
      <c r="N720" s="326"/>
      <c r="O720" s="330">
        <v>899.5</v>
      </c>
      <c r="P720" s="330">
        <v>5.05</v>
      </c>
      <c r="Q720" s="331">
        <v>1498</v>
      </c>
      <c r="R720" s="330">
        <v>12000</v>
      </c>
      <c r="S720" s="330">
        <v>430</v>
      </c>
      <c r="T720" s="326" t="s">
        <v>170</v>
      </c>
      <c r="U720" s="326" t="s">
        <v>2040</v>
      </c>
      <c r="V720" s="332">
        <v>14113</v>
      </c>
      <c r="W720" s="333">
        <v>73021</v>
      </c>
    </row>
    <row r="721" spans="1:23" ht="45" customHeight="1" x14ac:dyDescent="0.4">
      <c r="A721" s="323">
        <v>730835</v>
      </c>
      <c r="B721" s="324" t="s">
        <v>4922</v>
      </c>
      <c r="C721" s="325" t="s">
        <v>3157</v>
      </c>
      <c r="D721" s="326" t="s">
        <v>2084</v>
      </c>
      <c r="E721" s="327" t="s">
        <v>1574</v>
      </c>
      <c r="F721" s="327" t="s">
        <v>3158</v>
      </c>
      <c r="G721" s="327" t="s">
        <v>1575</v>
      </c>
      <c r="H721" s="325" t="s">
        <v>3044</v>
      </c>
      <c r="I721" s="325" t="s">
        <v>228</v>
      </c>
      <c r="J721" s="328">
        <v>73</v>
      </c>
      <c r="K721" s="329">
        <v>7313</v>
      </c>
      <c r="L721" s="325" t="s">
        <v>3154</v>
      </c>
      <c r="M721" s="326" t="s">
        <v>226</v>
      </c>
      <c r="N721" s="326"/>
      <c r="O721" s="330">
        <v>288.43</v>
      </c>
      <c r="P721" s="330">
        <v>7.4</v>
      </c>
      <c r="Q721" s="331">
        <v>7313</v>
      </c>
      <c r="R721" s="330">
        <v>51000</v>
      </c>
      <c r="S721" s="330">
        <v>5800</v>
      </c>
      <c r="T721" s="326" t="s">
        <v>170</v>
      </c>
      <c r="U721" s="326" t="s">
        <v>2040</v>
      </c>
      <c r="V721" s="332">
        <v>73016</v>
      </c>
      <c r="W721" s="333">
        <v>73020</v>
      </c>
    </row>
    <row r="722" spans="1:23" ht="45" customHeight="1" x14ac:dyDescent="0.4">
      <c r="A722" s="323">
        <v>730836</v>
      </c>
      <c r="B722" s="324" t="s">
        <v>4923</v>
      </c>
      <c r="C722" s="325" t="s">
        <v>3159</v>
      </c>
      <c r="D722" s="326" t="s">
        <v>2084</v>
      </c>
      <c r="E722" s="327" t="s">
        <v>3749</v>
      </c>
      <c r="F722" s="327"/>
      <c r="G722" s="327" t="s">
        <v>1577</v>
      </c>
      <c r="H722" s="325" t="s">
        <v>3044</v>
      </c>
      <c r="I722" s="325" t="s">
        <v>228</v>
      </c>
      <c r="J722" s="328">
        <v>14</v>
      </c>
      <c r="K722" s="329">
        <v>1446</v>
      </c>
      <c r="L722" s="325" t="s">
        <v>2317</v>
      </c>
      <c r="M722" s="326" t="s">
        <v>226</v>
      </c>
      <c r="N722" s="326"/>
      <c r="O722" s="330">
        <v>529.53</v>
      </c>
      <c r="P722" s="330">
        <v>4.4800000000000004</v>
      </c>
      <c r="Q722" s="331">
        <v>1446</v>
      </c>
      <c r="R722" s="330">
        <v>79000</v>
      </c>
      <c r="S722" s="330">
        <v>13000</v>
      </c>
      <c r="T722" s="326" t="s">
        <v>170</v>
      </c>
      <c r="U722" s="326" t="s">
        <v>2040</v>
      </c>
      <c r="V722" s="332">
        <v>14132</v>
      </c>
      <c r="W722" s="333">
        <v>14347</v>
      </c>
    </row>
    <row r="723" spans="1:23" ht="45" customHeight="1" x14ac:dyDescent="0.4">
      <c r="A723" s="323">
        <v>730837</v>
      </c>
      <c r="B723" s="324" t="s">
        <v>4924</v>
      </c>
      <c r="C723" s="325" t="s">
        <v>3160</v>
      </c>
      <c r="D723" s="326" t="s">
        <v>2084</v>
      </c>
      <c r="E723" s="327" t="s">
        <v>4925</v>
      </c>
      <c r="F723" s="327"/>
      <c r="G723" s="327" t="s">
        <v>1578</v>
      </c>
      <c r="H723" s="325" t="s">
        <v>3044</v>
      </c>
      <c r="I723" s="325" t="s">
        <v>228</v>
      </c>
      <c r="J723" s="328">
        <v>14</v>
      </c>
      <c r="K723" s="329">
        <v>1498</v>
      </c>
      <c r="L723" s="325" t="s">
        <v>3156</v>
      </c>
      <c r="M723" s="326" t="s">
        <v>226</v>
      </c>
      <c r="N723" s="326"/>
      <c r="O723" s="330">
        <v>899.5</v>
      </c>
      <c r="P723" s="330">
        <v>5.05</v>
      </c>
      <c r="Q723" s="331">
        <v>1498</v>
      </c>
      <c r="R723" s="330">
        <v>12000</v>
      </c>
      <c r="S723" s="330">
        <v>430</v>
      </c>
      <c r="T723" s="326" t="s">
        <v>170</v>
      </c>
      <c r="U723" s="326" t="s">
        <v>2040</v>
      </c>
      <c r="V723" s="332">
        <v>14113</v>
      </c>
      <c r="W723" s="333">
        <v>73025</v>
      </c>
    </row>
    <row r="724" spans="1:23" ht="45" customHeight="1" x14ac:dyDescent="0.4">
      <c r="A724" s="323">
        <v>730838</v>
      </c>
      <c r="B724" s="324" t="s">
        <v>4926</v>
      </c>
      <c r="C724" s="325" t="s">
        <v>3161</v>
      </c>
      <c r="D724" s="326" t="s">
        <v>2084</v>
      </c>
      <c r="E724" s="327" t="s">
        <v>1576</v>
      </c>
      <c r="F724" s="327"/>
      <c r="G724" s="327" t="s">
        <v>1579</v>
      </c>
      <c r="H724" s="325" t="s">
        <v>3044</v>
      </c>
      <c r="I724" s="325" t="s">
        <v>228</v>
      </c>
      <c r="J724" s="328">
        <v>14</v>
      </c>
      <c r="K724" s="329">
        <v>1498</v>
      </c>
      <c r="L724" s="325" t="s">
        <v>3156</v>
      </c>
      <c r="M724" s="326" t="s">
        <v>226</v>
      </c>
      <c r="N724" s="326"/>
      <c r="O724" s="330">
        <v>899.5</v>
      </c>
      <c r="P724" s="330">
        <v>5.05</v>
      </c>
      <c r="Q724" s="331">
        <v>1498</v>
      </c>
      <c r="R724" s="330">
        <v>12000</v>
      </c>
      <c r="S724" s="330">
        <v>430</v>
      </c>
      <c r="T724" s="326" t="s">
        <v>170</v>
      </c>
      <c r="U724" s="326" t="s">
        <v>2040</v>
      </c>
      <c r="V724" s="332">
        <v>14113</v>
      </c>
      <c r="W724" s="333">
        <v>73025</v>
      </c>
    </row>
    <row r="725" spans="1:23" ht="45" customHeight="1" x14ac:dyDescent="0.4">
      <c r="A725" s="323">
        <v>730839</v>
      </c>
      <c r="B725" s="324" t="s">
        <v>4927</v>
      </c>
      <c r="C725" s="325" t="s">
        <v>1580</v>
      </c>
      <c r="D725" s="326" t="s">
        <v>2084</v>
      </c>
      <c r="E725" s="327" t="s">
        <v>4928</v>
      </c>
      <c r="F725" s="327" t="s">
        <v>4929</v>
      </c>
      <c r="G725" s="327" t="s">
        <v>3748</v>
      </c>
      <c r="H725" s="325" t="s">
        <v>3044</v>
      </c>
      <c r="I725" s="325" t="s">
        <v>228</v>
      </c>
      <c r="J725" s="328">
        <v>14</v>
      </c>
      <c r="K725" s="329">
        <v>1498</v>
      </c>
      <c r="L725" s="325" t="s">
        <v>3156</v>
      </c>
      <c r="M725" s="326" t="s">
        <v>226</v>
      </c>
      <c r="N725" s="326"/>
      <c r="O725" s="330">
        <v>899.5</v>
      </c>
      <c r="P725" s="330">
        <v>5.05</v>
      </c>
      <c r="Q725" s="331">
        <v>1498</v>
      </c>
      <c r="R725" s="330">
        <v>12000</v>
      </c>
      <c r="S725" s="330">
        <v>430</v>
      </c>
      <c r="T725" s="326" t="s">
        <v>170</v>
      </c>
      <c r="U725" s="326" t="s">
        <v>2040</v>
      </c>
      <c r="V725" s="332">
        <v>14113</v>
      </c>
      <c r="W725" s="333">
        <v>73025</v>
      </c>
    </row>
    <row r="726" spans="1:23" ht="45" customHeight="1" x14ac:dyDescent="0.4">
      <c r="A726" s="323">
        <v>730841</v>
      </c>
      <c r="B726" s="324" t="s">
        <v>4930</v>
      </c>
      <c r="C726" s="325" t="s">
        <v>4931</v>
      </c>
      <c r="D726" s="326" t="s">
        <v>2084</v>
      </c>
      <c r="E726" s="327" t="s">
        <v>1581</v>
      </c>
      <c r="F726" s="327" t="s">
        <v>4932</v>
      </c>
      <c r="G726" s="327" t="s">
        <v>1582</v>
      </c>
      <c r="H726" s="325" t="s">
        <v>3044</v>
      </c>
      <c r="I726" s="325" t="s">
        <v>228</v>
      </c>
      <c r="J726" s="328">
        <v>14</v>
      </c>
      <c r="K726" s="329">
        <v>1445</v>
      </c>
      <c r="L726" s="325" t="s">
        <v>2973</v>
      </c>
      <c r="M726" s="326" t="s">
        <v>226</v>
      </c>
      <c r="N726" s="326"/>
      <c r="O726" s="330">
        <v>725</v>
      </c>
      <c r="P726" s="330">
        <v>4.2699999999999996</v>
      </c>
      <c r="Q726" s="331">
        <v>1445</v>
      </c>
      <c r="R726" s="330">
        <v>23000</v>
      </c>
      <c r="S726" s="330">
        <v>3800</v>
      </c>
      <c r="T726" s="326" t="s">
        <v>170</v>
      </c>
      <c r="U726" s="326" t="s">
        <v>2040</v>
      </c>
      <c r="V726" s="332">
        <v>14126</v>
      </c>
      <c r="W726" s="333">
        <v>73076</v>
      </c>
    </row>
    <row r="727" spans="1:23" ht="45" customHeight="1" x14ac:dyDescent="0.4">
      <c r="A727" s="323">
        <v>730911</v>
      </c>
      <c r="B727" s="324" t="s">
        <v>4933</v>
      </c>
      <c r="C727" s="325" t="s">
        <v>1583</v>
      </c>
      <c r="D727" s="326" t="s">
        <v>2084</v>
      </c>
      <c r="E727" s="327" t="s">
        <v>1584</v>
      </c>
      <c r="F727" s="327"/>
      <c r="G727" s="327" t="s">
        <v>1585</v>
      </c>
      <c r="H727" s="325" t="s">
        <v>2888</v>
      </c>
      <c r="I727" s="325" t="s">
        <v>228</v>
      </c>
      <c r="J727" s="328">
        <v>53</v>
      </c>
      <c r="K727" s="329">
        <v>5303</v>
      </c>
      <c r="L727" s="325" t="s">
        <v>3162</v>
      </c>
      <c r="M727" s="326" t="s">
        <v>226</v>
      </c>
      <c r="N727" s="326"/>
      <c r="O727" s="330">
        <v>351.68</v>
      </c>
      <c r="P727" s="330">
        <v>9.1300000000000008</v>
      </c>
      <c r="Q727" s="331">
        <v>5303</v>
      </c>
      <c r="R727" s="330">
        <v>14000</v>
      </c>
      <c r="S727" s="330">
        <v>12000</v>
      </c>
      <c r="T727" s="326" t="s">
        <v>170</v>
      </c>
      <c r="U727" s="326" t="s">
        <v>2040</v>
      </c>
      <c r="V727" s="332">
        <v>53030</v>
      </c>
      <c r="W727" s="333">
        <v>53030</v>
      </c>
    </row>
    <row r="728" spans="1:23" ht="45" customHeight="1" x14ac:dyDescent="0.4">
      <c r="A728" s="323">
        <v>731421</v>
      </c>
      <c r="B728" s="324" t="s">
        <v>4934</v>
      </c>
      <c r="C728" s="325" t="s">
        <v>3163</v>
      </c>
      <c r="D728" s="326" t="s">
        <v>2084</v>
      </c>
      <c r="E728" s="327" t="s">
        <v>1586</v>
      </c>
      <c r="F728" s="327"/>
      <c r="G728" s="327" t="s">
        <v>1587</v>
      </c>
      <c r="H728" s="325" t="s">
        <v>2888</v>
      </c>
      <c r="I728" s="325" t="s">
        <v>228</v>
      </c>
      <c r="J728" s="328">
        <v>73</v>
      </c>
      <c r="K728" s="329">
        <v>7314</v>
      </c>
      <c r="L728" s="325" t="s">
        <v>3164</v>
      </c>
      <c r="M728" s="326" t="s">
        <v>226</v>
      </c>
      <c r="N728" s="326"/>
      <c r="O728" s="330">
        <v>265.66000000000003</v>
      </c>
      <c r="P728" s="330">
        <v>4.43</v>
      </c>
      <c r="Q728" s="331">
        <v>7314</v>
      </c>
      <c r="R728" s="330">
        <v>18000</v>
      </c>
      <c r="S728" s="330">
        <v>3400</v>
      </c>
      <c r="T728" s="326" t="s">
        <v>170</v>
      </c>
      <c r="U728" s="326" t="s">
        <v>2040</v>
      </c>
      <c r="V728" s="332">
        <v>73028</v>
      </c>
      <c r="W728" s="333" t="s">
        <v>228</v>
      </c>
    </row>
    <row r="729" spans="1:23" ht="45" customHeight="1" x14ac:dyDescent="0.4">
      <c r="A729" s="323">
        <v>738401</v>
      </c>
      <c r="B729" s="324" t="s">
        <v>4935</v>
      </c>
      <c r="C729" s="325" t="s">
        <v>3165</v>
      </c>
      <c r="D729" s="326" t="s">
        <v>2045</v>
      </c>
      <c r="E729" s="327" t="s">
        <v>1588</v>
      </c>
      <c r="F729" s="327"/>
      <c r="G729" s="327" t="s">
        <v>1589</v>
      </c>
      <c r="H729" s="325" t="s">
        <v>2035</v>
      </c>
      <c r="I729" s="325" t="s">
        <v>228</v>
      </c>
      <c r="J729" s="328">
        <v>73</v>
      </c>
      <c r="K729" s="329">
        <v>7384</v>
      </c>
      <c r="L729" s="325" t="s">
        <v>3115</v>
      </c>
      <c r="M729" s="326" t="s">
        <v>226</v>
      </c>
      <c r="N729" s="326"/>
      <c r="O729" s="330">
        <v>68.680000000000007</v>
      </c>
      <c r="P729" s="330">
        <v>0.69</v>
      </c>
      <c r="Q729" s="331">
        <v>7384</v>
      </c>
      <c r="R729" s="330">
        <v>15000</v>
      </c>
      <c r="S729" s="330">
        <v>300</v>
      </c>
      <c r="T729" s="326" t="s">
        <v>170</v>
      </c>
      <c r="U729" s="326" t="s">
        <v>2040</v>
      </c>
      <c r="V729" s="332">
        <v>73070</v>
      </c>
      <c r="W729" s="333">
        <v>73066</v>
      </c>
    </row>
    <row r="730" spans="1:23" ht="45" customHeight="1" x14ac:dyDescent="0.4">
      <c r="A730" s="323">
        <v>738421</v>
      </c>
      <c r="B730" s="324" t="s">
        <v>4936</v>
      </c>
      <c r="C730" s="325" t="s">
        <v>1590</v>
      </c>
      <c r="D730" s="326" t="s">
        <v>2045</v>
      </c>
      <c r="E730" s="327" t="s">
        <v>1591</v>
      </c>
      <c r="F730" s="327"/>
      <c r="G730" s="327" t="s">
        <v>1592</v>
      </c>
      <c r="H730" s="325" t="s">
        <v>2035</v>
      </c>
      <c r="I730" s="325" t="s">
        <v>228</v>
      </c>
      <c r="J730" s="328">
        <v>73</v>
      </c>
      <c r="K730" s="329">
        <v>7384</v>
      </c>
      <c r="L730" s="325" t="s">
        <v>3115</v>
      </c>
      <c r="M730" s="326" t="s">
        <v>226</v>
      </c>
      <c r="N730" s="326"/>
      <c r="O730" s="330">
        <v>68.680000000000007</v>
      </c>
      <c r="P730" s="330">
        <v>0.69</v>
      </c>
      <c r="Q730" s="331">
        <v>7384</v>
      </c>
      <c r="R730" s="330">
        <v>15000</v>
      </c>
      <c r="S730" s="330">
        <v>300</v>
      </c>
      <c r="T730" s="326" t="s">
        <v>170</v>
      </c>
      <c r="U730" s="326" t="s">
        <v>2040</v>
      </c>
      <c r="V730" s="332">
        <v>73056</v>
      </c>
      <c r="W730" s="333">
        <v>74093</v>
      </c>
    </row>
    <row r="731" spans="1:23" ht="45" customHeight="1" x14ac:dyDescent="0.4">
      <c r="A731" s="323">
        <v>738499</v>
      </c>
      <c r="B731" s="324" t="s">
        <v>4937</v>
      </c>
      <c r="C731" s="325" t="s">
        <v>3166</v>
      </c>
      <c r="D731" s="326" t="s">
        <v>2045</v>
      </c>
      <c r="E731" s="327" t="s">
        <v>1593</v>
      </c>
      <c r="F731" s="327"/>
      <c r="G731" s="327" t="s">
        <v>1594</v>
      </c>
      <c r="H731" s="325" t="s">
        <v>2035</v>
      </c>
      <c r="I731" s="325" t="s">
        <v>228</v>
      </c>
      <c r="J731" s="328">
        <v>73</v>
      </c>
      <c r="K731" s="329">
        <v>7384</v>
      </c>
      <c r="L731" s="325" t="s">
        <v>3115</v>
      </c>
      <c r="M731" s="326" t="s">
        <v>226</v>
      </c>
      <c r="N731" s="326"/>
      <c r="O731" s="330">
        <v>68.680000000000007</v>
      </c>
      <c r="P731" s="330">
        <v>0.69</v>
      </c>
      <c r="Q731" s="331">
        <v>7384</v>
      </c>
      <c r="R731" s="330">
        <v>15000</v>
      </c>
      <c r="S731" s="330">
        <v>300</v>
      </c>
      <c r="T731" s="326" t="s">
        <v>170</v>
      </c>
      <c r="U731" s="326" t="s">
        <v>2040</v>
      </c>
      <c r="V731" s="332">
        <v>73070</v>
      </c>
      <c r="W731" s="333">
        <v>73066</v>
      </c>
    </row>
    <row r="732" spans="1:23" ht="45" customHeight="1" x14ac:dyDescent="0.4">
      <c r="A732" s="323">
        <v>738521</v>
      </c>
      <c r="B732" s="324" t="s">
        <v>4938</v>
      </c>
      <c r="C732" s="325" t="s">
        <v>3168</v>
      </c>
      <c r="D732" s="326" t="s">
        <v>2084</v>
      </c>
      <c r="E732" s="327" t="s">
        <v>1595</v>
      </c>
      <c r="F732" s="327" t="s">
        <v>4939</v>
      </c>
      <c r="G732" s="327" t="s">
        <v>1596</v>
      </c>
      <c r="H732" s="325" t="s">
        <v>2035</v>
      </c>
      <c r="I732" s="325" t="s">
        <v>228</v>
      </c>
      <c r="J732" s="328">
        <v>73</v>
      </c>
      <c r="K732" s="329">
        <v>7385</v>
      </c>
      <c r="L732" s="325" t="s">
        <v>3169</v>
      </c>
      <c r="M732" s="326" t="s">
        <v>226</v>
      </c>
      <c r="N732" s="326"/>
      <c r="O732" s="330">
        <v>260.2</v>
      </c>
      <c r="P732" s="330">
        <v>7.21</v>
      </c>
      <c r="Q732" s="331">
        <v>7385</v>
      </c>
      <c r="R732" s="330">
        <v>11000</v>
      </c>
      <c r="S732" s="330">
        <v>540</v>
      </c>
      <c r="T732" s="326" t="s">
        <v>170</v>
      </c>
      <c r="U732" s="326" t="s">
        <v>2040</v>
      </c>
      <c r="V732" s="332">
        <v>73075</v>
      </c>
      <c r="W732" s="333" t="s">
        <v>3170</v>
      </c>
    </row>
    <row r="733" spans="1:23" ht="45" customHeight="1" x14ac:dyDescent="0.4">
      <c r="A733" s="323">
        <v>740111</v>
      </c>
      <c r="B733" s="324" t="s">
        <v>4940</v>
      </c>
      <c r="C733" s="325" t="s">
        <v>1597</v>
      </c>
      <c r="D733" s="326" t="s">
        <v>2084</v>
      </c>
      <c r="E733" s="327" t="s">
        <v>4941</v>
      </c>
      <c r="F733" s="327"/>
      <c r="G733" s="327" t="s">
        <v>1598</v>
      </c>
      <c r="H733" s="325" t="s">
        <v>3131</v>
      </c>
      <c r="I733" s="325" t="s">
        <v>228</v>
      </c>
      <c r="J733" s="328">
        <v>73</v>
      </c>
      <c r="K733" s="329">
        <v>7346</v>
      </c>
      <c r="L733" s="325" t="s">
        <v>3171</v>
      </c>
      <c r="M733" s="326" t="s">
        <v>226</v>
      </c>
      <c r="N733" s="326"/>
      <c r="O733" s="330">
        <v>164.93</v>
      </c>
      <c r="P733" s="330">
        <v>3.89</v>
      </c>
      <c r="Q733" s="331">
        <v>7346</v>
      </c>
      <c r="R733" s="330">
        <v>240000</v>
      </c>
      <c r="S733" s="330">
        <v>20000</v>
      </c>
      <c r="T733" s="326" t="s">
        <v>170</v>
      </c>
      <c r="U733" s="326" t="s">
        <v>2040</v>
      </c>
      <c r="V733" s="332" t="s">
        <v>228</v>
      </c>
      <c r="W733" s="333" t="s">
        <v>3172</v>
      </c>
    </row>
    <row r="734" spans="1:23" ht="45" customHeight="1" x14ac:dyDescent="0.4">
      <c r="A734" s="323">
        <v>740153</v>
      </c>
      <c r="B734" s="324" t="s">
        <v>4942</v>
      </c>
      <c r="C734" s="325" t="s">
        <v>1599</v>
      </c>
      <c r="D734" s="326" t="s">
        <v>2084</v>
      </c>
      <c r="E734" s="327" t="s">
        <v>1600</v>
      </c>
      <c r="F734" s="327"/>
      <c r="G734" s="327" t="s">
        <v>1601</v>
      </c>
      <c r="H734" s="325" t="s">
        <v>3173</v>
      </c>
      <c r="I734" s="325" t="s">
        <v>228</v>
      </c>
      <c r="J734" s="328">
        <v>73</v>
      </c>
      <c r="K734" s="329">
        <v>7347</v>
      </c>
      <c r="L734" s="325" t="s">
        <v>3174</v>
      </c>
      <c r="M734" s="326" t="s">
        <v>226</v>
      </c>
      <c r="N734" s="326"/>
      <c r="O734" s="330">
        <v>340.27</v>
      </c>
      <c r="P734" s="330">
        <v>3.62</v>
      </c>
      <c r="Q734" s="331">
        <v>7347</v>
      </c>
      <c r="R734" s="330">
        <v>24000</v>
      </c>
      <c r="S734" s="330">
        <v>2000</v>
      </c>
      <c r="T734" s="326" t="s">
        <v>170</v>
      </c>
      <c r="U734" s="326" t="s">
        <v>2040</v>
      </c>
      <c r="V734" s="332">
        <v>74006</v>
      </c>
      <c r="W734" s="333">
        <v>74018</v>
      </c>
    </row>
    <row r="735" spans="1:23" ht="45" customHeight="1" x14ac:dyDescent="0.4">
      <c r="A735" s="323">
        <v>740155</v>
      </c>
      <c r="B735" s="324" t="s">
        <v>4943</v>
      </c>
      <c r="C735" s="325" t="s">
        <v>1602</v>
      </c>
      <c r="D735" s="326" t="s">
        <v>2084</v>
      </c>
      <c r="E735" s="327" t="s">
        <v>1603</v>
      </c>
      <c r="F735" s="327"/>
      <c r="G735" s="327" t="s">
        <v>1604</v>
      </c>
      <c r="H735" s="325" t="s">
        <v>3173</v>
      </c>
      <c r="I735" s="325" t="s">
        <v>228</v>
      </c>
      <c r="J735" s="328">
        <v>73</v>
      </c>
      <c r="K735" s="329">
        <v>7347</v>
      </c>
      <c r="L735" s="325" t="s">
        <v>3174</v>
      </c>
      <c r="M735" s="326" t="s">
        <v>226</v>
      </c>
      <c r="N735" s="326"/>
      <c r="O735" s="330">
        <v>340.27</v>
      </c>
      <c r="P735" s="330">
        <v>3.62</v>
      </c>
      <c r="Q735" s="331">
        <v>7347</v>
      </c>
      <c r="R735" s="330">
        <v>24000</v>
      </c>
      <c r="S735" s="330">
        <v>2000</v>
      </c>
      <c r="T735" s="326" t="s">
        <v>170</v>
      </c>
      <c r="U735" s="326" t="s">
        <v>2040</v>
      </c>
      <c r="V735" s="332">
        <v>74023</v>
      </c>
      <c r="W735" s="333">
        <v>74019</v>
      </c>
    </row>
    <row r="736" spans="1:23" ht="45" customHeight="1" x14ac:dyDescent="0.4">
      <c r="A736" s="323">
        <v>740253</v>
      </c>
      <c r="B736" s="324" t="s">
        <v>4944</v>
      </c>
      <c r="C736" s="325" t="s">
        <v>3175</v>
      </c>
      <c r="D736" s="326" t="s">
        <v>2084</v>
      </c>
      <c r="E736" s="327" t="s">
        <v>1605</v>
      </c>
      <c r="F736" s="327"/>
      <c r="G736" s="327" t="s">
        <v>1606</v>
      </c>
      <c r="H736" s="325" t="s">
        <v>2986</v>
      </c>
      <c r="I736" s="325" t="s">
        <v>3176</v>
      </c>
      <c r="J736" s="328">
        <v>73</v>
      </c>
      <c r="K736" s="329">
        <v>7372</v>
      </c>
      <c r="L736" s="325" t="s">
        <v>3876</v>
      </c>
      <c r="M736" s="326" t="s">
        <v>226</v>
      </c>
      <c r="N736" s="326"/>
      <c r="O736" s="330">
        <v>260.92</v>
      </c>
      <c r="P736" s="330">
        <v>5.95</v>
      </c>
      <c r="Q736" s="331">
        <v>7372</v>
      </c>
      <c r="R736" s="330">
        <v>35000</v>
      </c>
      <c r="S736" s="330">
        <v>7000</v>
      </c>
      <c r="T736" s="326" t="s">
        <v>170</v>
      </c>
      <c r="U736" s="326" t="s">
        <v>2040</v>
      </c>
      <c r="V736" s="332">
        <v>74033</v>
      </c>
      <c r="W736" s="333">
        <v>74025</v>
      </c>
    </row>
    <row r="737" spans="1:23" ht="45" customHeight="1" x14ac:dyDescent="0.4">
      <c r="A737" s="323">
        <v>740255</v>
      </c>
      <c r="B737" s="324" t="s">
        <v>4945</v>
      </c>
      <c r="C737" s="325" t="s">
        <v>1607</v>
      </c>
      <c r="D737" s="326" t="s">
        <v>2084</v>
      </c>
      <c r="E737" s="327" t="s">
        <v>1608</v>
      </c>
      <c r="F737" s="327"/>
      <c r="G737" s="327" t="s">
        <v>1609</v>
      </c>
      <c r="H737" s="325" t="s">
        <v>3173</v>
      </c>
      <c r="I737" s="325" t="s">
        <v>3120</v>
      </c>
      <c r="J737" s="328">
        <v>73</v>
      </c>
      <c r="K737" s="329">
        <v>7340</v>
      </c>
      <c r="L737" s="325" t="s">
        <v>3177</v>
      </c>
      <c r="M737" s="326" t="s">
        <v>226</v>
      </c>
      <c r="N737" s="326"/>
      <c r="O737" s="330">
        <v>126.79</v>
      </c>
      <c r="P737" s="330">
        <v>5.53</v>
      </c>
      <c r="Q737" s="331">
        <v>7340</v>
      </c>
      <c r="R737" s="330">
        <v>24000</v>
      </c>
      <c r="S737" s="330">
        <v>4000</v>
      </c>
      <c r="T737" s="326" t="s">
        <v>170</v>
      </c>
      <c r="U737" s="326" t="s">
        <v>2040</v>
      </c>
      <c r="V737" s="332">
        <v>74078</v>
      </c>
      <c r="W737" s="333">
        <v>74034</v>
      </c>
    </row>
    <row r="738" spans="1:23" ht="45" customHeight="1" x14ac:dyDescent="0.4">
      <c r="A738" s="323">
        <v>740262</v>
      </c>
      <c r="B738" s="324" t="s">
        <v>4946</v>
      </c>
      <c r="C738" s="325" t="s">
        <v>1610</v>
      </c>
      <c r="D738" s="326" t="s">
        <v>2084</v>
      </c>
      <c r="E738" s="327" t="s">
        <v>1611</v>
      </c>
      <c r="F738" s="327"/>
      <c r="G738" s="327" t="s">
        <v>383</v>
      </c>
      <c r="H738" s="325" t="s">
        <v>3131</v>
      </c>
      <c r="I738" s="325" t="s">
        <v>228</v>
      </c>
      <c r="J738" s="328">
        <v>73</v>
      </c>
      <c r="K738" s="329">
        <v>7346</v>
      </c>
      <c r="L738" s="325" t="s">
        <v>3171</v>
      </c>
      <c r="M738" s="326" t="s">
        <v>226</v>
      </c>
      <c r="N738" s="326"/>
      <c r="O738" s="330">
        <v>164.93</v>
      </c>
      <c r="P738" s="330">
        <v>3.89</v>
      </c>
      <c r="Q738" s="331">
        <v>7346</v>
      </c>
      <c r="R738" s="330">
        <v>240000</v>
      </c>
      <c r="S738" s="330">
        <v>20000</v>
      </c>
      <c r="T738" s="326" t="s">
        <v>170</v>
      </c>
      <c r="U738" s="326" t="s">
        <v>2040</v>
      </c>
      <c r="V738" s="332">
        <v>74058</v>
      </c>
      <c r="W738" s="333">
        <v>74009</v>
      </c>
    </row>
    <row r="739" spans="1:23" ht="45" customHeight="1" x14ac:dyDescent="0.4">
      <c r="A739" s="323">
        <v>740266</v>
      </c>
      <c r="B739" s="324" t="s">
        <v>4947</v>
      </c>
      <c r="C739" s="325" t="s">
        <v>1612</v>
      </c>
      <c r="D739" s="326" t="s">
        <v>2084</v>
      </c>
      <c r="E739" s="327" t="s">
        <v>1613</v>
      </c>
      <c r="F739" s="327"/>
      <c r="G739" s="327" t="s">
        <v>1614</v>
      </c>
      <c r="H739" s="325" t="s">
        <v>3178</v>
      </c>
      <c r="I739" s="325" t="s">
        <v>228</v>
      </c>
      <c r="J739" s="328">
        <v>73</v>
      </c>
      <c r="K739" s="329">
        <v>7349</v>
      </c>
      <c r="L739" s="325" t="s">
        <v>3179</v>
      </c>
      <c r="M739" s="326" t="s">
        <v>226</v>
      </c>
      <c r="N739" s="326"/>
      <c r="O739" s="330">
        <v>185.4</v>
      </c>
      <c r="P739" s="330">
        <v>2.44</v>
      </c>
      <c r="Q739" s="331">
        <v>7349</v>
      </c>
      <c r="R739" s="330">
        <v>130000</v>
      </c>
      <c r="S739" s="330">
        <v>52000</v>
      </c>
      <c r="T739" s="326" t="s">
        <v>170</v>
      </c>
      <c r="U739" s="326" t="s">
        <v>2040</v>
      </c>
      <c r="V739" s="332">
        <v>74021</v>
      </c>
      <c r="W739" s="333">
        <v>74023</v>
      </c>
    </row>
    <row r="740" spans="1:23" ht="45" customHeight="1" x14ac:dyDescent="0.4">
      <c r="A740" s="323">
        <v>740267</v>
      </c>
      <c r="B740" s="324" t="s">
        <v>4948</v>
      </c>
      <c r="C740" s="325" t="s">
        <v>3180</v>
      </c>
      <c r="D740" s="326" t="s">
        <v>2084</v>
      </c>
      <c r="E740" s="327" t="s">
        <v>1615</v>
      </c>
      <c r="F740" s="327" t="s">
        <v>2383</v>
      </c>
      <c r="G740" s="327" t="s">
        <v>1616</v>
      </c>
      <c r="H740" s="325" t="s">
        <v>3131</v>
      </c>
      <c r="I740" s="325" t="s">
        <v>228</v>
      </c>
      <c r="J740" s="328">
        <v>73</v>
      </c>
      <c r="K740" s="329">
        <v>7346</v>
      </c>
      <c r="L740" s="325" t="s">
        <v>3171</v>
      </c>
      <c r="M740" s="326" t="s">
        <v>226</v>
      </c>
      <c r="N740" s="326"/>
      <c r="O740" s="330">
        <v>164.93</v>
      </c>
      <c r="P740" s="330">
        <v>3.89</v>
      </c>
      <c r="Q740" s="331">
        <v>7346</v>
      </c>
      <c r="R740" s="330">
        <v>240000</v>
      </c>
      <c r="S740" s="330">
        <v>20000</v>
      </c>
      <c r="T740" s="326" t="s">
        <v>170</v>
      </c>
      <c r="U740" s="326" t="s">
        <v>2040</v>
      </c>
      <c r="V740" s="332">
        <v>74058</v>
      </c>
      <c r="W740" s="333">
        <v>74009</v>
      </c>
    </row>
    <row r="741" spans="1:23" ht="45" customHeight="1" x14ac:dyDescent="0.4">
      <c r="A741" s="323">
        <v>740269</v>
      </c>
      <c r="B741" s="324" t="s">
        <v>4949</v>
      </c>
      <c r="C741" s="325" t="s">
        <v>3181</v>
      </c>
      <c r="D741" s="326" t="s">
        <v>2084</v>
      </c>
      <c r="E741" s="327" t="s">
        <v>1617</v>
      </c>
      <c r="F741" s="327" t="s">
        <v>3167</v>
      </c>
      <c r="G741" s="327" t="s">
        <v>1618</v>
      </c>
      <c r="H741" s="325" t="s">
        <v>3131</v>
      </c>
      <c r="I741" s="325" t="s">
        <v>228</v>
      </c>
      <c r="J741" s="328">
        <v>73</v>
      </c>
      <c r="K741" s="329">
        <v>7346</v>
      </c>
      <c r="L741" s="325" t="s">
        <v>3171</v>
      </c>
      <c r="M741" s="326" t="s">
        <v>226</v>
      </c>
      <c r="N741" s="326"/>
      <c r="O741" s="330">
        <v>164.93</v>
      </c>
      <c r="P741" s="330">
        <v>3.89</v>
      </c>
      <c r="Q741" s="331">
        <v>7346</v>
      </c>
      <c r="R741" s="330">
        <v>240000</v>
      </c>
      <c r="S741" s="330">
        <v>20000</v>
      </c>
      <c r="T741" s="326" t="s">
        <v>170</v>
      </c>
      <c r="U741" s="326" t="s">
        <v>2040</v>
      </c>
      <c r="V741" s="332">
        <v>74058</v>
      </c>
      <c r="W741" s="333">
        <v>74071</v>
      </c>
    </row>
    <row r="742" spans="1:23" ht="45" customHeight="1" x14ac:dyDescent="0.4">
      <c r="A742" s="323">
        <v>740270</v>
      </c>
      <c r="B742" s="324" t="s">
        <v>4950</v>
      </c>
      <c r="C742" s="325" t="s">
        <v>1619</v>
      </c>
      <c r="D742" s="326" t="s">
        <v>2084</v>
      </c>
      <c r="E742" s="327" t="s">
        <v>1620</v>
      </c>
      <c r="F742" s="327"/>
      <c r="G742" s="327" t="s">
        <v>1621</v>
      </c>
      <c r="H742" s="325" t="s">
        <v>2888</v>
      </c>
      <c r="I742" s="325" t="s">
        <v>228</v>
      </c>
      <c r="J742" s="328">
        <v>53</v>
      </c>
      <c r="K742" s="329">
        <v>5304</v>
      </c>
      <c r="L742" s="325" t="s">
        <v>2936</v>
      </c>
      <c r="M742" s="326" t="s">
        <v>226</v>
      </c>
      <c r="N742" s="326"/>
      <c r="O742" s="330">
        <v>795</v>
      </c>
      <c r="P742" s="330">
        <v>4.32</v>
      </c>
      <c r="Q742" s="331">
        <v>5304</v>
      </c>
      <c r="R742" s="330">
        <v>50000</v>
      </c>
      <c r="S742" s="330">
        <v>2800</v>
      </c>
      <c r="T742" s="326" t="s">
        <v>170</v>
      </c>
      <c r="U742" s="326" t="s">
        <v>2040</v>
      </c>
      <c r="V742" s="332">
        <v>53043</v>
      </c>
      <c r="W742" s="333">
        <v>53045</v>
      </c>
    </row>
    <row r="743" spans="1:23" ht="45" customHeight="1" x14ac:dyDescent="0.4">
      <c r="A743" s="323">
        <v>740315</v>
      </c>
      <c r="B743" s="324" t="s">
        <v>4951</v>
      </c>
      <c r="C743" s="325" t="s">
        <v>3182</v>
      </c>
      <c r="D743" s="326" t="s">
        <v>2084</v>
      </c>
      <c r="E743" s="327" t="s">
        <v>1622</v>
      </c>
      <c r="F743" s="327"/>
      <c r="G743" s="327" t="s">
        <v>1623</v>
      </c>
      <c r="H743" s="325" t="s">
        <v>2986</v>
      </c>
      <c r="I743" s="325" t="s">
        <v>3111</v>
      </c>
      <c r="J743" s="328">
        <v>74</v>
      </c>
      <c r="K743" s="329">
        <v>7414</v>
      </c>
      <c r="L743" s="325" t="s">
        <v>3183</v>
      </c>
      <c r="M743" s="326" t="s">
        <v>226</v>
      </c>
      <c r="N743" s="326"/>
      <c r="O743" s="330">
        <v>214.63</v>
      </c>
      <c r="P743" s="330">
        <v>6.7</v>
      </c>
      <c r="Q743" s="331">
        <v>7414</v>
      </c>
      <c r="R743" s="330">
        <v>23000</v>
      </c>
      <c r="S743" s="330">
        <v>2800</v>
      </c>
      <c r="T743" s="326" t="s">
        <v>170</v>
      </c>
      <c r="U743" s="326" t="s">
        <v>2040</v>
      </c>
      <c r="V743" s="332">
        <v>74085</v>
      </c>
      <c r="W743" s="333" t="s">
        <v>228</v>
      </c>
    </row>
    <row r="744" spans="1:23" ht="45" customHeight="1" x14ac:dyDescent="0.4">
      <c r="A744" s="323">
        <v>740316</v>
      </c>
      <c r="B744" s="324" t="s">
        <v>4952</v>
      </c>
      <c r="C744" s="325" t="s">
        <v>4953</v>
      </c>
      <c r="D744" s="326" t="s">
        <v>2084</v>
      </c>
      <c r="E744" s="327" t="s">
        <v>4954</v>
      </c>
      <c r="F744" s="327"/>
      <c r="G744" s="327" t="s">
        <v>1624</v>
      </c>
      <c r="H744" s="325" t="s">
        <v>2986</v>
      </c>
      <c r="I744" s="325" t="s">
        <v>3111</v>
      </c>
      <c r="J744" s="328">
        <v>74</v>
      </c>
      <c r="K744" s="329">
        <v>7417</v>
      </c>
      <c r="L744" s="325" t="s">
        <v>3184</v>
      </c>
      <c r="M744" s="326" t="s">
        <v>226</v>
      </c>
      <c r="N744" s="326"/>
      <c r="O744" s="330">
        <v>276.86</v>
      </c>
      <c r="P744" s="330">
        <v>6.79</v>
      </c>
      <c r="Q744" s="331">
        <v>7417</v>
      </c>
      <c r="R744" s="330">
        <v>43000</v>
      </c>
      <c r="S744" s="330">
        <v>7400</v>
      </c>
      <c r="T744" s="326" t="s">
        <v>170</v>
      </c>
      <c r="U744" s="326" t="s">
        <v>2040</v>
      </c>
      <c r="V744" s="332">
        <v>74068</v>
      </c>
      <c r="W744" s="333">
        <v>74042</v>
      </c>
    </row>
    <row r="745" spans="1:23" ht="45" customHeight="1" x14ac:dyDescent="0.4">
      <c r="A745" s="323">
        <v>740317</v>
      </c>
      <c r="B745" s="324" t="s">
        <v>4955</v>
      </c>
      <c r="C745" s="325" t="s">
        <v>3185</v>
      </c>
      <c r="D745" s="326" t="s">
        <v>2084</v>
      </c>
      <c r="E745" s="327" t="s">
        <v>1625</v>
      </c>
      <c r="F745" s="327"/>
      <c r="G745" s="327" t="s">
        <v>1626</v>
      </c>
      <c r="H745" s="325" t="s">
        <v>2986</v>
      </c>
      <c r="I745" s="325" t="s">
        <v>3111</v>
      </c>
      <c r="J745" s="328">
        <v>74</v>
      </c>
      <c r="K745" s="329">
        <v>7414</v>
      </c>
      <c r="L745" s="325" t="s">
        <v>3183</v>
      </c>
      <c r="M745" s="326" t="s">
        <v>226</v>
      </c>
      <c r="N745" s="326"/>
      <c r="O745" s="330">
        <v>214.63</v>
      </c>
      <c r="P745" s="330">
        <v>6.7</v>
      </c>
      <c r="Q745" s="331">
        <v>7414</v>
      </c>
      <c r="R745" s="330">
        <v>23000</v>
      </c>
      <c r="S745" s="330">
        <v>2800</v>
      </c>
      <c r="T745" s="326" t="s">
        <v>170</v>
      </c>
      <c r="U745" s="326" t="s">
        <v>2040</v>
      </c>
      <c r="V745" s="332">
        <v>74085</v>
      </c>
      <c r="W745" s="333">
        <v>74075</v>
      </c>
    </row>
    <row r="746" spans="1:23" ht="45" customHeight="1" x14ac:dyDescent="0.4">
      <c r="A746" s="323">
        <v>740320</v>
      </c>
      <c r="B746" s="324" t="s">
        <v>4956</v>
      </c>
      <c r="C746" s="325" t="s">
        <v>3186</v>
      </c>
      <c r="D746" s="326" t="s">
        <v>2084</v>
      </c>
      <c r="E746" s="327" t="s">
        <v>4957</v>
      </c>
      <c r="F746" s="327"/>
      <c r="G746" s="327" t="s">
        <v>383</v>
      </c>
      <c r="H746" s="325" t="e">
        <v>#N/A</v>
      </c>
      <c r="I746" s="325" t="e">
        <v>#N/A</v>
      </c>
      <c r="J746" s="326">
        <v>73</v>
      </c>
      <c r="K746" s="329">
        <v>7348</v>
      </c>
      <c r="L746" s="325" t="s">
        <v>3187</v>
      </c>
      <c r="M746" s="326" t="s">
        <v>226</v>
      </c>
      <c r="N746" s="326"/>
      <c r="O746" s="330">
        <v>114.82</v>
      </c>
      <c r="P746" s="330">
        <v>3.35</v>
      </c>
      <c r="Q746" s="331">
        <v>7348</v>
      </c>
      <c r="R746" s="330">
        <v>6300</v>
      </c>
      <c r="S746" s="330">
        <v>1700</v>
      </c>
      <c r="T746" s="326" t="s">
        <v>170</v>
      </c>
      <c r="U746" s="326" t="s">
        <v>2040</v>
      </c>
      <c r="V746" s="332"/>
      <c r="W746" s="333"/>
    </row>
    <row r="747" spans="1:23" ht="45" customHeight="1" x14ac:dyDescent="0.4">
      <c r="A747" s="323">
        <v>740370</v>
      </c>
      <c r="B747" s="324" t="s">
        <v>4958</v>
      </c>
      <c r="C747" s="325" t="s">
        <v>3188</v>
      </c>
      <c r="D747" s="326" t="s">
        <v>2084</v>
      </c>
      <c r="E747" s="327" t="s">
        <v>4959</v>
      </c>
      <c r="F747" s="327"/>
      <c r="G747" s="327" t="s">
        <v>383</v>
      </c>
      <c r="H747" s="325" t="e">
        <v>#N/A</v>
      </c>
      <c r="I747" s="325" t="e">
        <v>#N/A</v>
      </c>
      <c r="J747" s="326">
        <v>74</v>
      </c>
      <c r="K747" s="329">
        <v>7446</v>
      </c>
      <c r="L747" s="325" t="s">
        <v>3189</v>
      </c>
      <c r="M747" s="326" t="s">
        <v>226</v>
      </c>
      <c r="N747" s="326"/>
      <c r="O747" s="330">
        <v>175.73</v>
      </c>
      <c r="P747" s="330">
        <v>5.1100000000000003</v>
      </c>
      <c r="Q747" s="331">
        <v>7446</v>
      </c>
      <c r="R747" s="330">
        <v>32000</v>
      </c>
      <c r="S747" s="330">
        <v>3000</v>
      </c>
      <c r="T747" s="326" t="s">
        <v>170</v>
      </c>
      <c r="U747" s="326" t="s">
        <v>2040</v>
      </c>
      <c r="V747" s="332"/>
      <c r="W747" s="333"/>
    </row>
    <row r="748" spans="1:23" ht="45" customHeight="1" x14ac:dyDescent="0.4">
      <c r="A748" s="323">
        <v>740379</v>
      </c>
      <c r="B748" s="324" t="s">
        <v>4960</v>
      </c>
      <c r="C748" s="325" t="s">
        <v>3190</v>
      </c>
      <c r="D748" s="326" t="s">
        <v>2084</v>
      </c>
      <c r="E748" s="327" t="s">
        <v>1627</v>
      </c>
      <c r="F748" s="327" t="s">
        <v>3167</v>
      </c>
      <c r="G748" s="327" t="s">
        <v>1628</v>
      </c>
      <c r="H748" s="325" t="s">
        <v>3131</v>
      </c>
      <c r="I748" s="325" t="s">
        <v>228</v>
      </c>
      <c r="J748" s="328">
        <v>73</v>
      </c>
      <c r="K748" s="329">
        <v>7346</v>
      </c>
      <c r="L748" s="325" t="s">
        <v>3171</v>
      </c>
      <c r="M748" s="326" t="s">
        <v>226</v>
      </c>
      <c r="N748" s="326"/>
      <c r="O748" s="330">
        <v>164.93</v>
      </c>
      <c r="P748" s="330">
        <v>3.89</v>
      </c>
      <c r="Q748" s="331">
        <v>7346</v>
      </c>
      <c r="R748" s="330">
        <v>240000</v>
      </c>
      <c r="S748" s="330">
        <v>20000</v>
      </c>
      <c r="T748" s="326" t="s">
        <v>170</v>
      </c>
      <c r="U748" s="326" t="s">
        <v>2040</v>
      </c>
      <c r="V748" s="332">
        <v>74058</v>
      </c>
      <c r="W748" s="333">
        <v>74009</v>
      </c>
    </row>
    <row r="749" spans="1:23" ht="45" customHeight="1" x14ac:dyDescent="0.4">
      <c r="A749" s="323">
        <v>740381</v>
      </c>
      <c r="B749" s="324" t="s">
        <v>4961</v>
      </c>
      <c r="C749" s="325" t="s">
        <v>3191</v>
      </c>
      <c r="D749" s="326" t="s">
        <v>2084</v>
      </c>
      <c r="E749" s="327" t="s">
        <v>3750</v>
      </c>
      <c r="F749" s="327" t="s">
        <v>3167</v>
      </c>
      <c r="G749" s="327" t="s">
        <v>1629</v>
      </c>
      <c r="H749" s="325" t="s">
        <v>3131</v>
      </c>
      <c r="I749" s="325" t="s">
        <v>228</v>
      </c>
      <c r="J749" s="328">
        <v>73</v>
      </c>
      <c r="K749" s="329">
        <v>7331</v>
      </c>
      <c r="L749" s="325" t="s">
        <v>3192</v>
      </c>
      <c r="M749" s="326" t="s">
        <v>226</v>
      </c>
      <c r="N749" s="326" t="s">
        <v>3136</v>
      </c>
      <c r="O749" s="330">
        <v>283.06</v>
      </c>
      <c r="P749" s="330">
        <v>7.21</v>
      </c>
      <c r="Q749" s="331">
        <v>7331</v>
      </c>
      <c r="R749" s="330">
        <v>26000</v>
      </c>
      <c r="S749" s="330">
        <v>4300</v>
      </c>
      <c r="T749" s="326" t="s">
        <v>170</v>
      </c>
      <c r="U749" s="326" t="s">
        <v>2040</v>
      </c>
      <c r="V749" s="332" t="s">
        <v>3193</v>
      </c>
      <c r="W749" s="333">
        <v>74004</v>
      </c>
    </row>
    <row r="750" spans="1:23" ht="45" customHeight="1" x14ac:dyDescent="0.4">
      <c r="A750" s="323">
        <v>740382</v>
      </c>
      <c r="B750" s="324" t="s">
        <v>4962</v>
      </c>
      <c r="C750" s="325" t="s">
        <v>3194</v>
      </c>
      <c r="D750" s="326" t="s">
        <v>2084</v>
      </c>
      <c r="E750" s="327" t="s">
        <v>3751</v>
      </c>
      <c r="F750" s="327" t="s">
        <v>4963</v>
      </c>
      <c r="G750" s="327" t="s">
        <v>1630</v>
      </c>
      <c r="H750" s="325" t="s">
        <v>3131</v>
      </c>
      <c r="I750" s="325" t="s">
        <v>228</v>
      </c>
      <c r="J750" s="328">
        <v>73</v>
      </c>
      <c r="K750" s="329">
        <v>7346</v>
      </c>
      <c r="L750" s="325" t="s">
        <v>3171</v>
      </c>
      <c r="M750" s="326" t="s">
        <v>226</v>
      </c>
      <c r="N750" s="326"/>
      <c r="O750" s="330">
        <v>164.93</v>
      </c>
      <c r="P750" s="330">
        <v>3.89</v>
      </c>
      <c r="Q750" s="331">
        <v>7346</v>
      </c>
      <c r="R750" s="330">
        <v>240000</v>
      </c>
      <c r="S750" s="330">
        <v>20000</v>
      </c>
      <c r="T750" s="326" t="s">
        <v>170</v>
      </c>
      <c r="U750" s="326" t="s">
        <v>2040</v>
      </c>
      <c r="V750" s="332">
        <v>74050</v>
      </c>
      <c r="W750" s="333">
        <v>74002</v>
      </c>
    </row>
    <row r="751" spans="1:23" ht="45" customHeight="1" x14ac:dyDescent="0.4">
      <c r="A751" s="323">
        <v>740383</v>
      </c>
      <c r="B751" s="324" t="s">
        <v>4964</v>
      </c>
      <c r="C751" s="325" t="s">
        <v>3195</v>
      </c>
      <c r="D751" s="326" t="s">
        <v>2084</v>
      </c>
      <c r="E751" s="327" t="s">
        <v>1631</v>
      </c>
      <c r="F751" s="327" t="s">
        <v>3167</v>
      </c>
      <c r="G751" s="327" t="s">
        <v>1632</v>
      </c>
      <c r="H751" s="325" t="s">
        <v>3131</v>
      </c>
      <c r="I751" s="325" t="s">
        <v>228</v>
      </c>
      <c r="J751" s="328">
        <v>73</v>
      </c>
      <c r="K751" s="329">
        <v>7345</v>
      </c>
      <c r="L751" s="325" t="s">
        <v>3196</v>
      </c>
      <c r="M751" s="326" t="s">
        <v>226</v>
      </c>
      <c r="N751" s="326"/>
      <c r="O751" s="330">
        <v>210.7</v>
      </c>
      <c r="P751" s="330">
        <v>5.13</v>
      </c>
      <c r="Q751" s="331">
        <v>7345</v>
      </c>
      <c r="R751" s="330">
        <v>18000</v>
      </c>
      <c r="S751" s="330">
        <v>4200</v>
      </c>
      <c r="T751" s="326" t="s">
        <v>170</v>
      </c>
      <c r="U751" s="326" t="s">
        <v>2040</v>
      </c>
      <c r="V751" s="332">
        <v>74052</v>
      </c>
      <c r="W751" s="333">
        <v>74030</v>
      </c>
    </row>
    <row r="752" spans="1:23" ht="45" customHeight="1" x14ac:dyDescent="0.4">
      <c r="A752" s="323">
        <v>740384</v>
      </c>
      <c r="B752" s="324" t="s">
        <v>4965</v>
      </c>
      <c r="C752" s="325" t="s">
        <v>3197</v>
      </c>
      <c r="D752" s="326" t="s">
        <v>2084</v>
      </c>
      <c r="E752" s="327" t="s">
        <v>1633</v>
      </c>
      <c r="F752" s="327" t="s">
        <v>3167</v>
      </c>
      <c r="G752" s="327" t="s">
        <v>1634</v>
      </c>
      <c r="H752" s="325" t="s">
        <v>3131</v>
      </c>
      <c r="I752" s="325" t="s">
        <v>228</v>
      </c>
      <c r="J752" s="328">
        <v>73</v>
      </c>
      <c r="K752" s="329">
        <v>7342</v>
      </c>
      <c r="L752" s="325" t="s">
        <v>3127</v>
      </c>
      <c r="M752" s="326" t="s">
        <v>226</v>
      </c>
      <c r="N752" s="326"/>
      <c r="O752" s="330">
        <v>187.29</v>
      </c>
      <c r="P752" s="330">
        <v>3.33</v>
      </c>
      <c r="Q752" s="331">
        <v>7342</v>
      </c>
      <c r="R752" s="330">
        <v>56000</v>
      </c>
      <c r="S752" s="330">
        <v>2800</v>
      </c>
      <c r="T752" s="326" t="s">
        <v>170</v>
      </c>
      <c r="U752" s="326" t="s">
        <v>2040</v>
      </c>
      <c r="V752" s="332">
        <v>73030</v>
      </c>
      <c r="W752" s="333">
        <v>74013</v>
      </c>
    </row>
    <row r="753" spans="1:23" ht="45" customHeight="1" x14ac:dyDescent="0.4">
      <c r="A753" s="323">
        <v>740385</v>
      </c>
      <c r="B753" s="324" t="s">
        <v>4966</v>
      </c>
      <c r="C753" s="325" t="s">
        <v>3198</v>
      </c>
      <c r="D753" s="326" t="s">
        <v>2084</v>
      </c>
      <c r="E753" s="327" t="s">
        <v>1635</v>
      </c>
      <c r="F753" s="327" t="s">
        <v>3167</v>
      </c>
      <c r="G753" s="327" t="s">
        <v>1636</v>
      </c>
      <c r="H753" s="325" t="s">
        <v>3131</v>
      </c>
      <c r="I753" s="325" t="s">
        <v>228</v>
      </c>
      <c r="J753" s="328">
        <v>73</v>
      </c>
      <c r="K753" s="329">
        <v>7387</v>
      </c>
      <c r="L753" s="325" t="s">
        <v>3199</v>
      </c>
      <c r="M753" s="326" t="s">
        <v>226</v>
      </c>
      <c r="N753" s="326"/>
      <c r="O753" s="330">
        <v>112</v>
      </c>
      <c r="P753" s="330">
        <v>5.37</v>
      </c>
      <c r="Q753" s="331">
        <v>7387</v>
      </c>
      <c r="R753" s="330">
        <v>39000</v>
      </c>
      <c r="S753" s="330">
        <v>7800</v>
      </c>
      <c r="T753" s="326" t="s">
        <v>170</v>
      </c>
      <c r="U753" s="326" t="s">
        <v>2040</v>
      </c>
      <c r="V753" s="332">
        <v>74054</v>
      </c>
      <c r="W753" s="333">
        <v>74016</v>
      </c>
    </row>
    <row r="754" spans="1:23" ht="45" customHeight="1" x14ac:dyDescent="0.4">
      <c r="A754" s="323">
        <v>740386</v>
      </c>
      <c r="B754" s="324" t="s">
        <v>4967</v>
      </c>
      <c r="C754" s="325" t="s">
        <v>3200</v>
      </c>
      <c r="D754" s="326" t="s">
        <v>2084</v>
      </c>
      <c r="E754" s="327" t="s">
        <v>1637</v>
      </c>
      <c r="F754" s="327" t="s">
        <v>3167</v>
      </c>
      <c r="G754" s="327" t="s">
        <v>1638</v>
      </c>
      <c r="H754" s="325" t="s">
        <v>3131</v>
      </c>
      <c r="I754" s="325" t="s">
        <v>228</v>
      </c>
      <c r="J754" s="328">
        <v>73</v>
      </c>
      <c r="K754" s="329">
        <v>7387</v>
      </c>
      <c r="L754" s="325" t="s">
        <v>3199</v>
      </c>
      <c r="M754" s="326" t="s">
        <v>226</v>
      </c>
      <c r="N754" s="326"/>
      <c r="O754" s="330">
        <v>112</v>
      </c>
      <c r="P754" s="330">
        <v>5.37</v>
      </c>
      <c r="Q754" s="331">
        <v>7387</v>
      </c>
      <c r="R754" s="330">
        <v>39000</v>
      </c>
      <c r="S754" s="330">
        <v>7800</v>
      </c>
      <c r="T754" s="326" t="s">
        <v>170</v>
      </c>
      <c r="U754" s="326" t="s">
        <v>2040</v>
      </c>
      <c r="V754" s="332" t="s">
        <v>228</v>
      </c>
      <c r="W754" s="333">
        <v>74003</v>
      </c>
    </row>
    <row r="755" spans="1:23" ht="45" customHeight="1" x14ac:dyDescent="0.4">
      <c r="A755" s="323">
        <v>740387</v>
      </c>
      <c r="B755" s="324" t="s">
        <v>4968</v>
      </c>
      <c r="C755" s="325" t="s">
        <v>3201</v>
      </c>
      <c r="D755" s="326" t="s">
        <v>2084</v>
      </c>
      <c r="E755" s="327" t="s">
        <v>1639</v>
      </c>
      <c r="F755" s="327" t="s">
        <v>3167</v>
      </c>
      <c r="G755" s="327" t="s">
        <v>1640</v>
      </c>
      <c r="H755" s="325" t="s">
        <v>3131</v>
      </c>
      <c r="I755" s="325" t="s">
        <v>228</v>
      </c>
      <c r="J755" s="328">
        <v>73</v>
      </c>
      <c r="K755" s="329">
        <v>7388</v>
      </c>
      <c r="L755" s="325" t="s">
        <v>3202</v>
      </c>
      <c r="M755" s="326" t="s">
        <v>226</v>
      </c>
      <c r="N755" s="326"/>
      <c r="O755" s="330">
        <v>255.75</v>
      </c>
      <c r="P755" s="330">
        <v>2.5</v>
      </c>
      <c r="Q755" s="331">
        <v>7388</v>
      </c>
      <c r="R755" s="330">
        <v>470000</v>
      </c>
      <c r="S755" s="330">
        <v>58000</v>
      </c>
      <c r="T755" s="326" t="s">
        <v>170</v>
      </c>
      <c r="U755" s="326" t="s">
        <v>2040</v>
      </c>
      <c r="V755" s="332">
        <v>74055</v>
      </c>
      <c r="W755" s="333">
        <v>74086</v>
      </c>
    </row>
    <row r="756" spans="1:23" ht="45" customHeight="1" x14ac:dyDescent="0.4">
      <c r="A756" s="323">
        <v>740388</v>
      </c>
      <c r="B756" s="324" t="s">
        <v>4969</v>
      </c>
      <c r="C756" s="325" t="s">
        <v>3203</v>
      </c>
      <c r="D756" s="326" t="s">
        <v>2084</v>
      </c>
      <c r="E756" s="327" t="s">
        <v>1641</v>
      </c>
      <c r="F756" s="327" t="s">
        <v>3167</v>
      </c>
      <c r="G756" s="327" t="s">
        <v>1642</v>
      </c>
      <c r="H756" s="325" t="s">
        <v>3131</v>
      </c>
      <c r="I756" s="325" t="s">
        <v>228</v>
      </c>
      <c r="J756" s="328">
        <v>73</v>
      </c>
      <c r="K756" s="329">
        <v>7346</v>
      </c>
      <c r="L756" s="325" t="s">
        <v>3171</v>
      </c>
      <c r="M756" s="326" t="s">
        <v>226</v>
      </c>
      <c r="N756" s="326"/>
      <c r="O756" s="330">
        <v>164.93</v>
      </c>
      <c r="P756" s="330">
        <v>3.89</v>
      </c>
      <c r="Q756" s="331">
        <v>7346</v>
      </c>
      <c r="R756" s="330">
        <v>240000</v>
      </c>
      <c r="S756" s="330">
        <v>20000</v>
      </c>
      <c r="T756" s="326" t="s">
        <v>170</v>
      </c>
      <c r="U756" s="326" t="s">
        <v>2040</v>
      </c>
      <c r="V756" s="332">
        <v>74053</v>
      </c>
      <c r="W756" s="333">
        <v>74011</v>
      </c>
    </row>
    <row r="757" spans="1:23" ht="45" customHeight="1" x14ac:dyDescent="0.4">
      <c r="A757" s="323">
        <v>740389</v>
      </c>
      <c r="B757" s="324" t="s">
        <v>4970</v>
      </c>
      <c r="C757" s="325" t="s">
        <v>3204</v>
      </c>
      <c r="D757" s="326" t="s">
        <v>2084</v>
      </c>
      <c r="E757" s="327" t="s">
        <v>1643</v>
      </c>
      <c r="F757" s="327" t="s">
        <v>3167</v>
      </c>
      <c r="G757" s="327" t="s">
        <v>1644</v>
      </c>
      <c r="H757" s="325" t="s">
        <v>3131</v>
      </c>
      <c r="I757" s="325" t="s">
        <v>228</v>
      </c>
      <c r="J757" s="328">
        <v>73</v>
      </c>
      <c r="K757" s="329">
        <v>7346</v>
      </c>
      <c r="L757" s="325" t="s">
        <v>3171</v>
      </c>
      <c r="M757" s="326" t="s">
        <v>226</v>
      </c>
      <c r="N757" s="326"/>
      <c r="O757" s="330">
        <v>164.93</v>
      </c>
      <c r="P757" s="330">
        <v>3.89</v>
      </c>
      <c r="Q757" s="331">
        <v>7346</v>
      </c>
      <c r="R757" s="330">
        <v>240000</v>
      </c>
      <c r="S757" s="330">
        <v>20000</v>
      </c>
      <c r="T757" s="326" t="s">
        <v>170</v>
      </c>
      <c r="U757" s="326" t="s">
        <v>2040</v>
      </c>
      <c r="V757" s="332">
        <v>74056</v>
      </c>
      <c r="W757" s="333">
        <v>74009</v>
      </c>
    </row>
    <row r="758" spans="1:23" ht="45" customHeight="1" x14ac:dyDescent="0.4">
      <c r="A758" s="323">
        <v>740396</v>
      </c>
      <c r="B758" s="324" t="s">
        <v>4971</v>
      </c>
      <c r="C758" s="325" t="s">
        <v>3205</v>
      </c>
      <c r="D758" s="326" t="s">
        <v>2084</v>
      </c>
      <c r="E758" s="327" t="s">
        <v>1645</v>
      </c>
      <c r="F758" s="327" t="s">
        <v>3167</v>
      </c>
      <c r="G758" s="327" t="s">
        <v>1646</v>
      </c>
      <c r="H758" s="325" t="s">
        <v>3131</v>
      </c>
      <c r="I758" s="325" t="s">
        <v>228</v>
      </c>
      <c r="J758" s="328">
        <v>73</v>
      </c>
      <c r="K758" s="329">
        <v>7387</v>
      </c>
      <c r="L758" s="325" t="s">
        <v>3199</v>
      </c>
      <c r="M758" s="326" t="s">
        <v>226</v>
      </c>
      <c r="N758" s="326"/>
      <c r="O758" s="330">
        <v>112</v>
      </c>
      <c r="P758" s="330">
        <v>5.37</v>
      </c>
      <c r="Q758" s="331">
        <v>7387</v>
      </c>
      <c r="R758" s="330">
        <v>39000</v>
      </c>
      <c r="S758" s="330">
        <v>7800</v>
      </c>
      <c r="T758" s="326" t="s">
        <v>170</v>
      </c>
      <c r="U758" s="326" t="s">
        <v>2040</v>
      </c>
      <c r="V758" s="332" t="s">
        <v>228</v>
      </c>
      <c r="W758" s="333">
        <v>74003</v>
      </c>
    </row>
    <row r="759" spans="1:23" ht="45" customHeight="1" x14ac:dyDescent="0.4">
      <c r="A759" s="323">
        <v>740397</v>
      </c>
      <c r="B759" s="324" t="s">
        <v>4972</v>
      </c>
      <c r="C759" s="325" t="s">
        <v>3206</v>
      </c>
      <c r="D759" s="326" t="s">
        <v>2084</v>
      </c>
      <c r="E759" s="327" t="s">
        <v>1647</v>
      </c>
      <c r="F759" s="327" t="s">
        <v>3167</v>
      </c>
      <c r="G759" s="327" t="s">
        <v>1640</v>
      </c>
      <c r="H759" s="325" t="s">
        <v>3131</v>
      </c>
      <c r="I759" s="325" t="s">
        <v>228</v>
      </c>
      <c r="J759" s="328">
        <v>73</v>
      </c>
      <c r="K759" s="329">
        <v>7388</v>
      </c>
      <c r="L759" s="325" t="s">
        <v>3202</v>
      </c>
      <c r="M759" s="326" t="s">
        <v>226</v>
      </c>
      <c r="N759" s="326"/>
      <c r="O759" s="330">
        <v>255.75</v>
      </c>
      <c r="P759" s="330">
        <v>2.5</v>
      </c>
      <c r="Q759" s="331">
        <v>7388</v>
      </c>
      <c r="R759" s="330">
        <v>470000</v>
      </c>
      <c r="S759" s="330">
        <v>58000</v>
      </c>
      <c r="T759" s="326" t="s">
        <v>170</v>
      </c>
      <c r="U759" s="326" t="s">
        <v>2040</v>
      </c>
      <c r="V759" s="332">
        <v>74055</v>
      </c>
      <c r="W759" s="333">
        <v>74085</v>
      </c>
    </row>
    <row r="760" spans="1:23" ht="45" customHeight="1" x14ac:dyDescent="0.4">
      <c r="A760" s="323">
        <v>740398</v>
      </c>
      <c r="B760" s="324" t="s">
        <v>4973</v>
      </c>
      <c r="C760" s="325" t="s">
        <v>3207</v>
      </c>
      <c r="D760" s="326" t="s">
        <v>2084</v>
      </c>
      <c r="E760" s="327" t="s">
        <v>4974</v>
      </c>
      <c r="F760" s="327" t="s">
        <v>3167</v>
      </c>
      <c r="G760" s="327" t="s">
        <v>1648</v>
      </c>
      <c r="H760" s="325" t="s">
        <v>3131</v>
      </c>
      <c r="I760" s="325" t="s">
        <v>228</v>
      </c>
      <c r="J760" s="328">
        <v>73</v>
      </c>
      <c r="K760" s="329">
        <v>7387</v>
      </c>
      <c r="L760" s="325" t="s">
        <v>3199</v>
      </c>
      <c r="M760" s="326" t="s">
        <v>226</v>
      </c>
      <c r="N760" s="326"/>
      <c r="O760" s="330">
        <v>112</v>
      </c>
      <c r="P760" s="330">
        <v>5.37</v>
      </c>
      <c r="Q760" s="331">
        <v>7387</v>
      </c>
      <c r="R760" s="330">
        <v>39000</v>
      </c>
      <c r="S760" s="330">
        <v>7800</v>
      </c>
      <c r="T760" s="326" t="s">
        <v>170</v>
      </c>
      <c r="U760" s="326" t="s">
        <v>2040</v>
      </c>
      <c r="V760" s="332" t="s">
        <v>228</v>
      </c>
      <c r="W760" s="333" t="s">
        <v>228</v>
      </c>
    </row>
    <row r="761" spans="1:23" ht="45" customHeight="1" x14ac:dyDescent="0.4">
      <c r="A761" s="323">
        <v>740443</v>
      </c>
      <c r="B761" s="324" t="s">
        <v>4975</v>
      </c>
      <c r="C761" s="325" t="s">
        <v>3208</v>
      </c>
      <c r="D761" s="326" t="s">
        <v>2084</v>
      </c>
      <c r="E761" s="327" t="s">
        <v>1649</v>
      </c>
      <c r="F761" s="327"/>
      <c r="G761" s="327" t="s">
        <v>1650</v>
      </c>
      <c r="H761" s="325" t="s">
        <v>2986</v>
      </c>
      <c r="I761" s="325" t="s">
        <v>3052</v>
      </c>
      <c r="J761" s="328">
        <v>74</v>
      </c>
      <c r="K761" s="329">
        <v>7441</v>
      </c>
      <c r="L761" s="325" t="s">
        <v>3043</v>
      </c>
      <c r="M761" s="326" t="s">
        <v>226</v>
      </c>
      <c r="N761" s="326"/>
      <c r="O761" s="330">
        <v>401.17</v>
      </c>
      <c r="P761" s="330">
        <v>4.07</v>
      </c>
      <c r="Q761" s="331">
        <v>7441</v>
      </c>
      <c r="R761" s="330">
        <v>152000</v>
      </c>
      <c r="S761" s="330">
        <v>23000</v>
      </c>
      <c r="T761" s="326" t="s">
        <v>170</v>
      </c>
      <c r="U761" s="326" t="s">
        <v>2040</v>
      </c>
      <c r="V761" s="332">
        <v>72010</v>
      </c>
      <c r="W761" s="333" t="s">
        <v>3209</v>
      </c>
    </row>
    <row r="762" spans="1:23" ht="45" customHeight="1" x14ac:dyDescent="0.4">
      <c r="A762" s="323">
        <v>740450</v>
      </c>
      <c r="B762" s="324" t="s">
        <v>4976</v>
      </c>
      <c r="C762" s="325" t="s">
        <v>3752</v>
      </c>
      <c r="D762" s="326" t="s">
        <v>2084</v>
      </c>
      <c r="E762" s="327" t="s">
        <v>4977</v>
      </c>
      <c r="F762" s="327"/>
      <c r="G762" s="327" t="s">
        <v>383</v>
      </c>
      <c r="H762" s="325"/>
      <c r="I762" s="325"/>
      <c r="J762" s="328">
        <v>74</v>
      </c>
      <c r="K762" s="329">
        <v>7421</v>
      </c>
      <c r="L762" s="325" t="s">
        <v>3230</v>
      </c>
      <c r="M762" s="326" t="s">
        <v>226</v>
      </c>
      <c r="N762" s="326"/>
      <c r="O762" s="330">
        <v>342.6</v>
      </c>
      <c r="P762" s="330">
        <v>4.7</v>
      </c>
      <c r="Q762" s="331">
        <v>7421</v>
      </c>
      <c r="R762" s="330">
        <v>115000</v>
      </c>
      <c r="S762" s="330">
        <v>18000</v>
      </c>
      <c r="T762" s="326" t="s">
        <v>170</v>
      </c>
      <c r="U762" s="326" t="s">
        <v>2040</v>
      </c>
      <c r="V762" s="332"/>
      <c r="W762" s="333"/>
    </row>
    <row r="763" spans="1:23" ht="45" customHeight="1" x14ac:dyDescent="0.4">
      <c r="A763" s="323">
        <v>740457</v>
      </c>
      <c r="B763" s="324" t="s">
        <v>4978</v>
      </c>
      <c r="C763" s="325" t="s">
        <v>3210</v>
      </c>
      <c r="D763" s="326" t="s">
        <v>2084</v>
      </c>
      <c r="E763" s="327" t="s">
        <v>1651</v>
      </c>
      <c r="F763" s="327"/>
      <c r="G763" s="327" t="s">
        <v>1652</v>
      </c>
      <c r="H763" s="325" t="s">
        <v>2986</v>
      </c>
      <c r="I763" s="325" t="s">
        <v>3052</v>
      </c>
      <c r="J763" s="328">
        <v>74</v>
      </c>
      <c r="K763" s="329">
        <v>7441</v>
      </c>
      <c r="L763" s="325" t="s">
        <v>3043</v>
      </c>
      <c r="M763" s="326" t="s">
        <v>226</v>
      </c>
      <c r="N763" s="326"/>
      <c r="O763" s="330">
        <v>401.17</v>
      </c>
      <c r="P763" s="330">
        <v>4.07</v>
      </c>
      <c r="Q763" s="331">
        <v>7441</v>
      </c>
      <c r="R763" s="330">
        <v>152000</v>
      </c>
      <c r="S763" s="330">
        <v>23000</v>
      </c>
      <c r="T763" s="326" t="s">
        <v>170</v>
      </c>
      <c r="U763" s="326" t="s">
        <v>2040</v>
      </c>
      <c r="V763" s="332">
        <v>72010</v>
      </c>
      <c r="W763" s="333">
        <v>74020</v>
      </c>
    </row>
    <row r="764" spans="1:23" ht="45" customHeight="1" x14ac:dyDescent="0.4">
      <c r="A764" s="323">
        <v>740459</v>
      </c>
      <c r="B764" s="324" t="s">
        <v>4979</v>
      </c>
      <c r="C764" s="325" t="s">
        <v>3211</v>
      </c>
      <c r="D764" s="326" t="s">
        <v>2084</v>
      </c>
      <c r="E764" s="327" t="s">
        <v>3753</v>
      </c>
      <c r="F764" s="327"/>
      <c r="G764" s="327" t="s">
        <v>1653</v>
      </c>
      <c r="H764" s="325" t="s">
        <v>2986</v>
      </c>
      <c r="I764" s="325" t="s">
        <v>3052</v>
      </c>
      <c r="J764" s="328">
        <v>74</v>
      </c>
      <c r="K764" s="329">
        <v>7443</v>
      </c>
      <c r="L764" s="325" t="s">
        <v>3212</v>
      </c>
      <c r="M764" s="326" t="s">
        <v>226</v>
      </c>
      <c r="N764" s="326"/>
      <c r="O764" s="330">
        <v>39.07</v>
      </c>
      <c r="P764" s="330">
        <v>1.55</v>
      </c>
      <c r="Q764" s="331">
        <v>7443</v>
      </c>
      <c r="R764" s="330">
        <v>16000</v>
      </c>
      <c r="S764" s="330">
        <v>1700</v>
      </c>
      <c r="T764" s="326" t="s">
        <v>170</v>
      </c>
      <c r="U764" s="326" t="s">
        <v>2040</v>
      </c>
      <c r="V764" s="332">
        <v>74087</v>
      </c>
      <c r="W764" s="333">
        <v>74092</v>
      </c>
    </row>
    <row r="765" spans="1:23" ht="45" customHeight="1" x14ac:dyDescent="0.4">
      <c r="A765" s="323">
        <v>740612</v>
      </c>
      <c r="B765" s="324" t="s">
        <v>4980</v>
      </c>
      <c r="C765" s="325" t="s">
        <v>3213</v>
      </c>
      <c r="D765" s="326" t="s">
        <v>2084</v>
      </c>
      <c r="E765" s="327" t="s">
        <v>1654</v>
      </c>
      <c r="F765" s="327"/>
      <c r="G765" s="327" t="s">
        <v>1655</v>
      </c>
      <c r="H765" s="325" t="s">
        <v>2986</v>
      </c>
      <c r="I765" s="325" t="s">
        <v>3111</v>
      </c>
      <c r="J765" s="328">
        <v>73</v>
      </c>
      <c r="K765" s="329">
        <v>7333</v>
      </c>
      <c r="L765" s="325" t="s">
        <v>3214</v>
      </c>
      <c r="M765" s="326" t="s">
        <v>226</v>
      </c>
      <c r="N765" s="326" t="s">
        <v>3136</v>
      </c>
      <c r="O765" s="330">
        <v>296.23</v>
      </c>
      <c r="P765" s="330">
        <v>7.33</v>
      </c>
      <c r="Q765" s="331">
        <v>7333</v>
      </c>
      <c r="R765" s="330">
        <v>70000</v>
      </c>
      <c r="S765" s="330">
        <v>15000</v>
      </c>
      <c r="T765" s="326" t="s">
        <v>170</v>
      </c>
      <c r="U765" s="326" t="s">
        <v>2040</v>
      </c>
      <c r="V765" s="332">
        <v>74047</v>
      </c>
      <c r="W765" s="333" t="s">
        <v>228</v>
      </c>
    </row>
    <row r="766" spans="1:23" ht="45" customHeight="1" x14ac:dyDescent="0.4">
      <c r="A766" s="323">
        <v>740615</v>
      </c>
      <c r="B766" s="324" t="s">
        <v>4981</v>
      </c>
      <c r="C766" s="325" t="s">
        <v>3215</v>
      </c>
      <c r="D766" s="326" t="s">
        <v>2084</v>
      </c>
      <c r="E766" s="327" t="s">
        <v>3754</v>
      </c>
      <c r="F766" s="327"/>
      <c r="G766" s="327" t="s">
        <v>1656</v>
      </c>
      <c r="H766" s="325" t="s">
        <v>2986</v>
      </c>
      <c r="I766" s="325" t="s">
        <v>3111</v>
      </c>
      <c r="J766" s="328">
        <v>73</v>
      </c>
      <c r="K766" s="329">
        <v>7333</v>
      </c>
      <c r="L766" s="325" t="s">
        <v>3214</v>
      </c>
      <c r="M766" s="326" t="s">
        <v>226</v>
      </c>
      <c r="N766" s="326" t="s">
        <v>3136</v>
      </c>
      <c r="O766" s="330">
        <v>296.23</v>
      </c>
      <c r="P766" s="330">
        <v>7.33</v>
      </c>
      <c r="Q766" s="331">
        <v>7333</v>
      </c>
      <c r="R766" s="330">
        <v>70000</v>
      </c>
      <c r="S766" s="330">
        <v>15000</v>
      </c>
      <c r="T766" s="326" t="s">
        <v>170</v>
      </c>
      <c r="U766" s="326" t="s">
        <v>2040</v>
      </c>
      <c r="V766" s="332">
        <v>74046</v>
      </c>
      <c r="W766" s="333">
        <v>74067</v>
      </c>
    </row>
    <row r="767" spans="1:23" ht="45" customHeight="1" x14ac:dyDescent="0.4">
      <c r="A767" s="323">
        <v>740617</v>
      </c>
      <c r="B767" s="324" t="s">
        <v>4982</v>
      </c>
      <c r="C767" s="325" t="s">
        <v>3216</v>
      </c>
      <c r="D767" s="326" t="s">
        <v>2084</v>
      </c>
      <c r="E767" s="327" t="s">
        <v>1657</v>
      </c>
      <c r="F767" s="327"/>
      <c r="G767" s="327" t="s">
        <v>1658</v>
      </c>
      <c r="H767" s="325" t="s">
        <v>2986</v>
      </c>
      <c r="I767" s="325" t="s">
        <v>3111</v>
      </c>
      <c r="J767" s="328">
        <v>73</v>
      </c>
      <c r="K767" s="329">
        <v>7333</v>
      </c>
      <c r="L767" s="325" t="s">
        <v>3214</v>
      </c>
      <c r="M767" s="326" t="s">
        <v>226</v>
      </c>
      <c r="N767" s="326" t="s">
        <v>3136</v>
      </c>
      <c r="O767" s="330">
        <v>296.23</v>
      </c>
      <c r="P767" s="330">
        <v>7.33</v>
      </c>
      <c r="Q767" s="331">
        <v>7333</v>
      </c>
      <c r="R767" s="330">
        <v>70000</v>
      </c>
      <c r="S767" s="330">
        <v>15000</v>
      </c>
      <c r="T767" s="326" t="s">
        <v>170</v>
      </c>
      <c r="U767" s="326" t="s">
        <v>2040</v>
      </c>
      <c r="V767" s="332">
        <v>74047</v>
      </c>
      <c r="W767" s="333" t="s">
        <v>228</v>
      </c>
    </row>
    <row r="768" spans="1:23" ht="45" customHeight="1" x14ac:dyDescent="0.4">
      <c r="A768" s="323">
        <v>740618</v>
      </c>
      <c r="B768" s="324" t="s">
        <v>4983</v>
      </c>
      <c r="C768" s="325" t="s">
        <v>3217</v>
      </c>
      <c r="D768" s="326" t="s">
        <v>2084</v>
      </c>
      <c r="E768" s="327" t="s">
        <v>1659</v>
      </c>
      <c r="F768" s="327"/>
      <c r="G768" s="327" t="s">
        <v>1660</v>
      </c>
      <c r="H768" s="325" t="s">
        <v>2986</v>
      </c>
      <c r="I768" s="325" t="s">
        <v>3111</v>
      </c>
      <c r="J768" s="328">
        <v>73</v>
      </c>
      <c r="K768" s="329">
        <v>7333</v>
      </c>
      <c r="L768" s="325" t="s">
        <v>3214</v>
      </c>
      <c r="M768" s="326" t="s">
        <v>226</v>
      </c>
      <c r="N768" s="326" t="s">
        <v>3136</v>
      </c>
      <c r="O768" s="330">
        <v>296.23</v>
      </c>
      <c r="P768" s="330">
        <v>7.33</v>
      </c>
      <c r="Q768" s="331">
        <v>7333</v>
      </c>
      <c r="R768" s="330">
        <v>70000</v>
      </c>
      <c r="S768" s="330">
        <v>15000</v>
      </c>
      <c r="T768" s="326" t="s">
        <v>170</v>
      </c>
      <c r="U768" s="326" t="s">
        <v>2040</v>
      </c>
      <c r="V768" s="332">
        <v>74048</v>
      </c>
      <c r="W768" s="333" t="s">
        <v>228</v>
      </c>
    </row>
    <row r="769" spans="1:23" ht="45" customHeight="1" x14ac:dyDescent="0.4">
      <c r="A769" s="323">
        <v>740657</v>
      </c>
      <c r="B769" s="324" t="s">
        <v>4984</v>
      </c>
      <c r="C769" s="325" t="s">
        <v>3218</v>
      </c>
      <c r="D769" s="326" t="s">
        <v>2045</v>
      </c>
      <c r="E769" s="327" t="s">
        <v>1661</v>
      </c>
      <c r="F769" s="327"/>
      <c r="G769" s="327" t="s">
        <v>1662</v>
      </c>
      <c r="H769" s="325" t="s">
        <v>2986</v>
      </c>
      <c r="I769" s="325" t="s">
        <v>3069</v>
      </c>
      <c r="J769" s="328">
        <v>13</v>
      </c>
      <c r="K769" s="329">
        <v>1321</v>
      </c>
      <c r="L769" s="325" t="s">
        <v>3795</v>
      </c>
      <c r="M769" s="326" t="s">
        <v>2076</v>
      </c>
      <c r="N769" s="326"/>
      <c r="O769" s="330">
        <v>43840.59</v>
      </c>
      <c r="P769" s="330">
        <v>941.95</v>
      </c>
      <c r="Q769" s="331">
        <v>1321</v>
      </c>
      <c r="R769" s="330">
        <v>360</v>
      </c>
      <c r="S769" s="330">
        <v>1</v>
      </c>
      <c r="T769" s="326" t="s">
        <v>170</v>
      </c>
      <c r="U769" s="326" t="s">
        <v>2040</v>
      </c>
      <c r="V769" s="332">
        <v>13220</v>
      </c>
      <c r="W769" s="333">
        <v>13210</v>
      </c>
    </row>
    <row r="770" spans="1:23" ht="45" customHeight="1" x14ac:dyDescent="0.4">
      <c r="A770" s="323">
        <v>740664</v>
      </c>
      <c r="B770" s="324" t="s">
        <v>4985</v>
      </c>
      <c r="C770" s="325" t="s">
        <v>3219</v>
      </c>
      <c r="D770" s="326" t="s">
        <v>2084</v>
      </c>
      <c r="E770" s="327" t="s">
        <v>1663</v>
      </c>
      <c r="F770" s="327"/>
      <c r="G770" s="337" t="s">
        <v>1664</v>
      </c>
      <c r="H770" s="325" t="s">
        <v>2986</v>
      </c>
      <c r="I770" s="325" t="s">
        <v>3069</v>
      </c>
      <c r="J770" s="328">
        <v>74</v>
      </c>
      <c r="K770" s="329">
        <v>7411</v>
      </c>
      <c r="L770" s="325" t="s">
        <v>3220</v>
      </c>
      <c r="M770" s="326" t="s">
        <v>226</v>
      </c>
      <c r="N770" s="326"/>
      <c r="O770" s="330">
        <v>174.61</v>
      </c>
      <c r="P770" s="330">
        <v>6.71</v>
      </c>
      <c r="Q770" s="331">
        <v>7411</v>
      </c>
      <c r="R770" s="330">
        <v>20000</v>
      </c>
      <c r="S770" s="330">
        <v>7200</v>
      </c>
      <c r="T770" s="326" t="s">
        <v>170</v>
      </c>
      <c r="U770" s="326" t="s">
        <v>2040</v>
      </c>
      <c r="V770" s="332">
        <v>74022</v>
      </c>
      <c r="W770" s="333">
        <v>74036</v>
      </c>
    </row>
    <row r="771" spans="1:23" ht="45" customHeight="1" x14ac:dyDescent="0.4">
      <c r="A771" s="323">
        <v>740665</v>
      </c>
      <c r="B771" s="324" t="s">
        <v>4986</v>
      </c>
      <c r="C771" s="325" t="s">
        <v>3221</v>
      </c>
      <c r="D771" s="326" t="s">
        <v>2084</v>
      </c>
      <c r="E771" s="327" t="s">
        <v>1665</v>
      </c>
      <c r="F771" s="327"/>
      <c r="G771" s="327" t="s">
        <v>1666</v>
      </c>
      <c r="H771" s="325" t="s">
        <v>2986</v>
      </c>
      <c r="I771" s="325" t="s">
        <v>3069</v>
      </c>
      <c r="J771" s="328">
        <v>74</v>
      </c>
      <c r="K771" s="329">
        <v>7412</v>
      </c>
      <c r="L771" s="325" t="s">
        <v>3222</v>
      </c>
      <c r="M771" s="326" t="s">
        <v>226</v>
      </c>
      <c r="N771" s="326"/>
      <c r="O771" s="330">
        <v>84.96</v>
      </c>
      <c r="P771" s="330">
        <v>3.39</v>
      </c>
      <c r="Q771" s="331">
        <v>7412</v>
      </c>
      <c r="R771" s="330">
        <v>29000</v>
      </c>
      <c r="S771" s="330">
        <v>5500</v>
      </c>
      <c r="T771" s="326" t="s">
        <v>170</v>
      </c>
      <c r="U771" s="326" t="s">
        <v>2040</v>
      </c>
      <c r="V771" s="332">
        <v>74024</v>
      </c>
      <c r="W771" s="333">
        <v>74038</v>
      </c>
    </row>
    <row r="772" spans="1:23" ht="45" customHeight="1" x14ac:dyDescent="0.4">
      <c r="A772" s="323">
        <v>740666</v>
      </c>
      <c r="B772" s="324" t="s">
        <v>4987</v>
      </c>
      <c r="C772" s="325" t="s">
        <v>3223</v>
      </c>
      <c r="D772" s="326" t="s">
        <v>2084</v>
      </c>
      <c r="E772" s="327" t="s">
        <v>1667</v>
      </c>
      <c r="F772" s="327"/>
      <c r="G772" s="327" t="s">
        <v>1668</v>
      </c>
      <c r="H772" s="325" t="s">
        <v>2986</v>
      </c>
      <c r="I772" s="325" t="s">
        <v>3069</v>
      </c>
      <c r="J772" s="328">
        <v>74</v>
      </c>
      <c r="K772" s="329">
        <v>7442</v>
      </c>
      <c r="L772" s="325" t="s">
        <v>3224</v>
      </c>
      <c r="M772" s="326" t="s">
        <v>226</v>
      </c>
      <c r="N772" s="326"/>
      <c r="O772" s="330">
        <v>182.98</v>
      </c>
      <c r="P772" s="330">
        <v>4.8499999999999996</v>
      </c>
      <c r="Q772" s="331">
        <v>7442</v>
      </c>
      <c r="R772" s="330">
        <v>90000</v>
      </c>
      <c r="S772" s="330">
        <v>1900</v>
      </c>
      <c r="T772" s="326" t="s">
        <v>170</v>
      </c>
      <c r="U772" s="326" t="s">
        <v>2040</v>
      </c>
      <c r="V772" s="332">
        <v>74036</v>
      </c>
      <c r="W772" s="333">
        <v>74081</v>
      </c>
    </row>
    <row r="773" spans="1:23" ht="45" customHeight="1" x14ac:dyDescent="0.4">
      <c r="A773" s="323">
        <v>740668</v>
      </c>
      <c r="B773" s="324" t="s">
        <v>4988</v>
      </c>
      <c r="C773" s="325" t="s">
        <v>4989</v>
      </c>
      <c r="D773" s="326" t="s">
        <v>2084</v>
      </c>
      <c r="E773" s="327" t="s">
        <v>4990</v>
      </c>
      <c r="F773" s="327"/>
      <c r="G773" s="327" t="s">
        <v>1669</v>
      </c>
      <c r="H773" s="325" t="s">
        <v>2986</v>
      </c>
      <c r="I773" s="325" t="s">
        <v>3069</v>
      </c>
      <c r="J773" s="328">
        <v>74</v>
      </c>
      <c r="K773" s="329">
        <v>7448</v>
      </c>
      <c r="L773" s="325" t="s">
        <v>3299</v>
      </c>
      <c r="M773" s="326" t="s">
        <v>226</v>
      </c>
      <c r="N773" s="326"/>
      <c r="O773" s="330">
        <v>110.76</v>
      </c>
      <c r="P773" s="330">
        <v>2.69</v>
      </c>
      <c r="Q773" s="331">
        <v>7448</v>
      </c>
      <c r="R773" s="330">
        <v>20000</v>
      </c>
      <c r="S773" s="330">
        <v>1200</v>
      </c>
      <c r="T773" s="326" t="s">
        <v>170</v>
      </c>
      <c r="U773" s="326" t="s">
        <v>2040</v>
      </c>
      <c r="V773" s="332">
        <v>74068</v>
      </c>
      <c r="W773" s="333">
        <v>74028</v>
      </c>
    </row>
    <row r="774" spans="1:23" ht="45" customHeight="1" x14ac:dyDescent="0.4">
      <c r="A774" s="323">
        <v>740671</v>
      </c>
      <c r="B774" s="324" t="s">
        <v>3226</v>
      </c>
      <c r="C774" s="325" t="s">
        <v>3225</v>
      </c>
      <c r="D774" s="326" t="s">
        <v>2084</v>
      </c>
      <c r="E774" s="327" t="s">
        <v>1670</v>
      </c>
      <c r="F774" s="327" t="s">
        <v>4991</v>
      </c>
      <c r="G774" s="327" t="s">
        <v>1671</v>
      </c>
      <c r="H774" s="325" t="s">
        <v>2986</v>
      </c>
      <c r="I774" s="325" t="s">
        <v>3069</v>
      </c>
      <c r="J774" s="328">
        <v>74</v>
      </c>
      <c r="K774" s="329">
        <v>7415</v>
      </c>
      <c r="L774" s="325" t="s">
        <v>3226</v>
      </c>
      <c r="M774" s="326" t="s">
        <v>226</v>
      </c>
      <c r="N774" s="326" t="s">
        <v>3227</v>
      </c>
      <c r="O774" s="330">
        <v>169.75</v>
      </c>
      <c r="P774" s="330">
        <v>3.74</v>
      </c>
      <c r="Q774" s="331">
        <v>7415</v>
      </c>
      <c r="R774" s="330">
        <v>44000</v>
      </c>
      <c r="S774" s="330">
        <v>19000</v>
      </c>
      <c r="T774" s="326" t="s">
        <v>170</v>
      </c>
      <c r="U774" s="326" t="s">
        <v>2040</v>
      </c>
      <c r="V774" s="332">
        <v>74011</v>
      </c>
      <c r="W774" s="333">
        <v>74040</v>
      </c>
    </row>
    <row r="775" spans="1:23" ht="45" customHeight="1" x14ac:dyDescent="0.4">
      <c r="A775" s="323">
        <v>740672</v>
      </c>
      <c r="B775" s="324" t="s">
        <v>4992</v>
      </c>
      <c r="C775" s="325" t="s">
        <v>3228</v>
      </c>
      <c r="D775" s="326" t="s">
        <v>2084</v>
      </c>
      <c r="E775" s="327" t="s">
        <v>1672</v>
      </c>
      <c r="F775" s="327"/>
      <c r="G775" s="327" t="s">
        <v>1673</v>
      </c>
      <c r="H775" s="325" t="s">
        <v>2986</v>
      </c>
      <c r="I775" s="325" t="s">
        <v>3069</v>
      </c>
      <c r="J775" s="328">
        <v>74</v>
      </c>
      <c r="K775" s="329">
        <v>7447</v>
      </c>
      <c r="L775" s="325" t="s">
        <v>3229</v>
      </c>
      <c r="M775" s="326" t="s">
        <v>226</v>
      </c>
      <c r="N775" s="326"/>
      <c r="O775" s="330">
        <v>276</v>
      </c>
      <c r="P775" s="330">
        <v>2.95</v>
      </c>
      <c r="Q775" s="331">
        <v>7447</v>
      </c>
      <c r="R775" s="330">
        <v>33000</v>
      </c>
      <c r="S775" s="330">
        <v>3800</v>
      </c>
      <c r="T775" s="326" t="s">
        <v>170</v>
      </c>
      <c r="U775" s="326" t="s">
        <v>2040</v>
      </c>
      <c r="V775" s="332">
        <v>74080</v>
      </c>
      <c r="W775" s="333" t="s">
        <v>228</v>
      </c>
    </row>
    <row r="776" spans="1:23" ht="45" customHeight="1" x14ac:dyDescent="0.4">
      <c r="A776" s="323">
        <v>740674</v>
      </c>
      <c r="B776" s="324" t="s">
        <v>4993</v>
      </c>
      <c r="C776" s="325" t="s">
        <v>1674</v>
      </c>
      <c r="D776" s="326" t="s">
        <v>2084</v>
      </c>
      <c r="E776" s="327" t="s">
        <v>1675</v>
      </c>
      <c r="F776" s="327" t="s">
        <v>4994</v>
      </c>
      <c r="G776" s="327" t="s">
        <v>1676</v>
      </c>
      <c r="H776" s="325" t="s">
        <v>2986</v>
      </c>
      <c r="I776" s="325" t="s">
        <v>3069</v>
      </c>
      <c r="J776" s="328">
        <v>74</v>
      </c>
      <c r="K776" s="329">
        <v>7421</v>
      </c>
      <c r="L776" s="325" t="s">
        <v>3230</v>
      </c>
      <c r="M776" s="326" t="s">
        <v>226</v>
      </c>
      <c r="N776" s="326"/>
      <c r="O776" s="330">
        <v>342.6</v>
      </c>
      <c r="P776" s="330">
        <v>4.7</v>
      </c>
      <c r="Q776" s="331">
        <v>7421</v>
      </c>
      <c r="R776" s="330">
        <v>115000</v>
      </c>
      <c r="S776" s="330">
        <v>18000</v>
      </c>
      <c r="T776" s="326" t="s">
        <v>170</v>
      </c>
      <c r="U776" s="326" t="s">
        <v>2040</v>
      </c>
      <c r="V776" s="332" t="s">
        <v>3231</v>
      </c>
      <c r="W776" s="333" t="s">
        <v>3232</v>
      </c>
    </row>
    <row r="777" spans="1:23" ht="45" customHeight="1" x14ac:dyDescent="0.4">
      <c r="A777" s="323">
        <v>740675</v>
      </c>
      <c r="B777" s="324" t="s">
        <v>4995</v>
      </c>
      <c r="C777" s="325" t="s">
        <v>3233</v>
      </c>
      <c r="D777" s="326" t="s">
        <v>2084</v>
      </c>
      <c r="E777" s="327" t="s">
        <v>1677</v>
      </c>
      <c r="F777" s="327"/>
      <c r="G777" s="327" t="s">
        <v>1678</v>
      </c>
      <c r="H777" s="325" t="s">
        <v>2986</v>
      </c>
      <c r="I777" s="325" t="s">
        <v>3069</v>
      </c>
      <c r="J777" s="328">
        <v>74</v>
      </c>
      <c r="K777" s="329">
        <v>7416</v>
      </c>
      <c r="L777" s="325" t="s">
        <v>3234</v>
      </c>
      <c r="M777" s="326" t="s">
        <v>226</v>
      </c>
      <c r="N777" s="326"/>
      <c r="O777" s="330">
        <v>289.08999999999997</v>
      </c>
      <c r="P777" s="330">
        <v>4.8499999999999996</v>
      </c>
      <c r="Q777" s="331">
        <v>7416</v>
      </c>
      <c r="R777" s="330">
        <v>47000</v>
      </c>
      <c r="S777" s="330">
        <v>11000</v>
      </c>
      <c r="T777" s="326" t="s">
        <v>170</v>
      </c>
      <c r="U777" s="326" t="s">
        <v>2040</v>
      </c>
      <c r="V777" s="332">
        <v>74041</v>
      </c>
      <c r="W777" s="333">
        <v>74076</v>
      </c>
    </row>
    <row r="778" spans="1:23" ht="45" customHeight="1" x14ac:dyDescent="0.4">
      <c r="A778" s="323">
        <v>740677</v>
      </c>
      <c r="B778" s="324" t="s">
        <v>4996</v>
      </c>
      <c r="C778" s="325" t="s">
        <v>3235</v>
      </c>
      <c r="D778" s="326" t="s">
        <v>2084</v>
      </c>
      <c r="E778" s="327" t="s">
        <v>1679</v>
      </c>
      <c r="F778" s="327"/>
      <c r="G778" s="327" t="s">
        <v>1680</v>
      </c>
      <c r="H778" s="325" t="s">
        <v>2986</v>
      </c>
      <c r="I778" s="325" t="s">
        <v>3236</v>
      </c>
      <c r="J778" s="328">
        <v>74</v>
      </c>
      <c r="K778" s="329">
        <v>7422</v>
      </c>
      <c r="L778" s="325" t="s">
        <v>3237</v>
      </c>
      <c r="M778" s="326" t="s">
        <v>226</v>
      </c>
      <c r="N778" s="326"/>
      <c r="O778" s="330">
        <v>202.92</v>
      </c>
      <c r="P778" s="330">
        <v>5.12</v>
      </c>
      <c r="Q778" s="331">
        <v>7422</v>
      </c>
      <c r="R778" s="330">
        <v>45000</v>
      </c>
      <c r="S778" s="330">
        <v>13000</v>
      </c>
      <c r="T778" s="326" t="s">
        <v>170</v>
      </c>
      <c r="U778" s="326" t="s">
        <v>2040</v>
      </c>
      <c r="V778" s="332">
        <v>74072</v>
      </c>
      <c r="W778" s="333">
        <v>74053</v>
      </c>
    </row>
    <row r="779" spans="1:23" ht="45" customHeight="1" x14ac:dyDescent="0.4">
      <c r="A779" s="323">
        <v>740678</v>
      </c>
      <c r="B779" s="324" t="s">
        <v>4997</v>
      </c>
      <c r="C779" s="325" t="s">
        <v>3238</v>
      </c>
      <c r="D779" s="326" t="s">
        <v>2084</v>
      </c>
      <c r="E779" s="327" t="s">
        <v>1681</v>
      </c>
      <c r="F779" s="327"/>
      <c r="G779" s="327" t="s">
        <v>1682</v>
      </c>
      <c r="H779" s="325" t="s">
        <v>2986</v>
      </c>
      <c r="I779" s="325" t="s">
        <v>3069</v>
      </c>
      <c r="J779" s="328">
        <v>74</v>
      </c>
      <c r="K779" s="329">
        <v>7418</v>
      </c>
      <c r="L779" s="325" t="s">
        <v>3239</v>
      </c>
      <c r="M779" s="326" t="s">
        <v>226</v>
      </c>
      <c r="N779" s="326"/>
      <c r="O779" s="330">
        <v>164.1</v>
      </c>
      <c r="P779" s="330">
        <v>2.9</v>
      </c>
      <c r="Q779" s="331">
        <v>7418</v>
      </c>
      <c r="R779" s="330">
        <v>20000</v>
      </c>
      <c r="S779" s="330">
        <v>12000</v>
      </c>
      <c r="T779" s="326" t="s">
        <v>170</v>
      </c>
      <c r="U779" s="326" t="s">
        <v>2040</v>
      </c>
      <c r="V779" s="332" t="s">
        <v>3240</v>
      </c>
      <c r="W779" s="333">
        <v>74046</v>
      </c>
    </row>
    <row r="780" spans="1:23" ht="45" customHeight="1" x14ac:dyDescent="0.4">
      <c r="A780" s="323">
        <v>740681</v>
      </c>
      <c r="B780" s="324" t="s">
        <v>4998</v>
      </c>
      <c r="C780" s="325" t="s">
        <v>3241</v>
      </c>
      <c r="D780" s="326" t="s">
        <v>2084</v>
      </c>
      <c r="E780" s="327" t="s">
        <v>1683</v>
      </c>
      <c r="F780" s="327" t="s">
        <v>2383</v>
      </c>
      <c r="G780" s="327" t="s">
        <v>1684</v>
      </c>
      <c r="H780" s="325" t="s">
        <v>2986</v>
      </c>
      <c r="I780" s="325" t="s">
        <v>3069</v>
      </c>
      <c r="J780" s="328">
        <v>74</v>
      </c>
      <c r="K780" s="329">
        <v>7417</v>
      </c>
      <c r="L780" s="325" t="s">
        <v>3184</v>
      </c>
      <c r="M780" s="326" t="s">
        <v>226</v>
      </c>
      <c r="N780" s="326"/>
      <c r="O780" s="330">
        <v>276.86</v>
      </c>
      <c r="P780" s="330">
        <v>6.79</v>
      </c>
      <c r="Q780" s="331">
        <v>7417</v>
      </c>
      <c r="R780" s="330">
        <v>43000</v>
      </c>
      <c r="S780" s="330">
        <v>7400</v>
      </c>
      <c r="T780" s="326" t="s">
        <v>170</v>
      </c>
      <c r="U780" s="326" t="s">
        <v>2040</v>
      </c>
      <c r="V780" s="332">
        <v>74068</v>
      </c>
      <c r="W780" s="333">
        <v>74054</v>
      </c>
    </row>
    <row r="781" spans="1:23" ht="45" customHeight="1" x14ac:dyDescent="0.4">
      <c r="A781" s="323">
        <v>740717</v>
      </c>
      <c r="B781" s="324" t="s">
        <v>4999</v>
      </c>
      <c r="C781" s="325" t="s">
        <v>1685</v>
      </c>
      <c r="D781" s="326" t="s">
        <v>2084</v>
      </c>
      <c r="E781" s="327" t="s">
        <v>1686</v>
      </c>
      <c r="F781" s="327" t="s">
        <v>5000</v>
      </c>
      <c r="G781" s="327" t="s">
        <v>1687</v>
      </c>
      <c r="H781" s="325" t="s">
        <v>3242</v>
      </c>
      <c r="I781" s="325" t="s">
        <v>3243</v>
      </c>
      <c r="J781" s="328">
        <v>61</v>
      </c>
      <c r="K781" s="329">
        <v>6100</v>
      </c>
      <c r="L781" s="325" t="s">
        <v>2408</v>
      </c>
      <c r="M781" s="326" t="s">
        <v>226</v>
      </c>
      <c r="N781" s="326" t="s">
        <v>2232</v>
      </c>
      <c r="O781" s="330">
        <v>587</v>
      </c>
      <c r="P781" s="330">
        <v>4.5999999999999996</v>
      </c>
      <c r="Q781" s="331">
        <v>6100</v>
      </c>
      <c r="R781" s="330">
        <v>1000000</v>
      </c>
      <c r="S781" s="330">
        <v>8400</v>
      </c>
      <c r="T781" s="326" t="s">
        <v>170</v>
      </c>
      <c r="U781" s="326" t="s">
        <v>2040</v>
      </c>
      <c r="V781" s="332">
        <v>61070</v>
      </c>
      <c r="W781" s="333">
        <v>74012</v>
      </c>
    </row>
    <row r="782" spans="1:23" ht="45" customHeight="1" x14ac:dyDescent="0.4">
      <c r="A782" s="323">
        <v>740732</v>
      </c>
      <c r="B782" s="324" t="s">
        <v>5001</v>
      </c>
      <c r="C782" s="325" t="s">
        <v>3244</v>
      </c>
      <c r="D782" s="326" t="s">
        <v>2084</v>
      </c>
      <c r="E782" s="327" t="s">
        <v>5002</v>
      </c>
      <c r="F782" s="327"/>
      <c r="G782" s="327" t="s">
        <v>1688</v>
      </c>
      <c r="H782" s="325" t="s">
        <v>2986</v>
      </c>
      <c r="I782" s="325" t="s">
        <v>3069</v>
      </c>
      <c r="J782" s="328">
        <v>74</v>
      </c>
      <c r="K782" s="329">
        <v>7417</v>
      </c>
      <c r="L782" s="325" t="s">
        <v>3184</v>
      </c>
      <c r="M782" s="326" t="s">
        <v>226</v>
      </c>
      <c r="N782" s="326"/>
      <c r="O782" s="330">
        <v>276.86</v>
      </c>
      <c r="P782" s="330">
        <v>6.79</v>
      </c>
      <c r="Q782" s="331">
        <v>7417</v>
      </c>
      <c r="R782" s="330">
        <v>43000</v>
      </c>
      <c r="S782" s="330">
        <v>7400</v>
      </c>
      <c r="T782" s="326" t="s">
        <v>170</v>
      </c>
      <c r="U782" s="326" t="s">
        <v>2040</v>
      </c>
      <c r="V782" s="332">
        <v>74068</v>
      </c>
      <c r="W782" s="333">
        <v>74028</v>
      </c>
    </row>
    <row r="783" spans="1:23" ht="45" customHeight="1" x14ac:dyDescent="0.4">
      <c r="A783" s="323">
        <v>740733</v>
      </c>
      <c r="B783" s="324" t="s">
        <v>5003</v>
      </c>
      <c r="C783" s="325" t="s">
        <v>3245</v>
      </c>
      <c r="D783" s="326" t="s">
        <v>2084</v>
      </c>
      <c r="E783" s="327" t="s">
        <v>1689</v>
      </c>
      <c r="F783" s="327"/>
      <c r="G783" s="327" t="s">
        <v>1690</v>
      </c>
      <c r="H783" s="325" t="s">
        <v>2986</v>
      </c>
      <c r="I783" s="325" t="s">
        <v>3069</v>
      </c>
      <c r="J783" s="328">
        <v>74</v>
      </c>
      <c r="K783" s="329">
        <v>7417</v>
      </c>
      <c r="L783" s="325" t="s">
        <v>3184</v>
      </c>
      <c r="M783" s="326" t="s">
        <v>226</v>
      </c>
      <c r="N783" s="326"/>
      <c r="O783" s="330">
        <v>276.86</v>
      </c>
      <c r="P783" s="330">
        <v>6.79</v>
      </c>
      <c r="Q783" s="331">
        <v>7417</v>
      </c>
      <c r="R783" s="330">
        <v>43000</v>
      </c>
      <c r="S783" s="330">
        <v>7400</v>
      </c>
      <c r="T783" s="326" t="s">
        <v>170</v>
      </c>
      <c r="U783" s="326" t="s">
        <v>2040</v>
      </c>
      <c r="V783" s="332">
        <v>74068</v>
      </c>
      <c r="W783" s="333">
        <v>74028</v>
      </c>
    </row>
    <row r="784" spans="1:23" ht="45" customHeight="1" x14ac:dyDescent="0.4">
      <c r="A784" s="323">
        <v>740735</v>
      </c>
      <c r="B784" s="324" t="s">
        <v>5004</v>
      </c>
      <c r="C784" s="325" t="s">
        <v>1691</v>
      </c>
      <c r="D784" s="326" t="s">
        <v>2084</v>
      </c>
      <c r="E784" s="327" t="s">
        <v>1692</v>
      </c>
      <c r="F784" s="327" t="s">
        <v>5005</v>
      </c>
      <c r="G784" s="327" t="s">
        <v>1693</v>
      </c>
      <c r="H784" s="325" t="s">
        <v>2986</v>
      </c>
      <c r="I784" s="325" t="s">
        <v>3069</v>
      </c>
      <c r="J784" s="328">
        <v>73</v>
      </c>
      <c r="K784" s="329">
        <v>7332</v>
      </c>
      <c r="L784" s="325" t="s">
        <v>3246</v>
      </c>
      <c r="M784" s="326" t="s">
        <v>226</v>
      </c>
      <c r="N784" s="326" t="s">
        <v>3136</v>
      </c>
      <c r="O784" s="330">
        <v>283.06</v>
      </c>
      <c r="P784" s="330">
        <v>4.5599999999999996</v>
      </c>
      <c r="Q784" s="331">
        <v>7332</v>
      </c>
      <c r="R784" s="330">
        <v>34000</v>
      </c>
      <c r="S784" s="330">
        <v>3400</v>
      </c>
      <c r="T784" s="326" t="s">
        <v>170</v>
      </c>
      <c r="U784" s="326" t="s">
        <v>2040</v>
      </c>
      <c r="V784" s="332" t="s">
        <v>3247</v>
      </c>
      <c r="W784" s="333">
        <v>74026</v>
      </c>
    </row>
    <row r="785" spans="1:23" ht="45" customHeight="1" x14ac:dyDescent="0.4">
      <c r="A785" s="323">
        <v>740870</v>
      </c>
      <c r="B785" s="324" t="s">
        <v>5006</v>
      </c>
      <c r="C785" s="325" t="s">
        <v>3877</v>
      </c>
      <c r="D785" s="326" t="s">
        <v>2084</v>
      </c>
      <c r="E785" s="327" t="s">
        <v>5007</v>
      </c>
      <c r="F785" s="327"/>
      <c r="G785" s="327" t="s">
        <v>383</v>
      </c>
      <c r="H785" s="325"/>
      <c r="I785" s="325"/>
      <c r="J785" s="328">
        <v>74</v>
      </c>
      <c r="K785" s="329">
        <v>7445</v>
      </c>
      <c r="L785" s="325" t="s">
        <v>3878</v>
      </c>
      <c r="M785" s="326" t="s">
        <v>226</v>
      </c>
      <c r="N785" s="326"/>
      <c r="O785" s="330">
        <v>42.16</v>
      </c>
      <c r="P785" s="330">
        <v>1.32</v>
      </c>
      <c r="Q785" s="331">
        <v>7445</v>
      </c>
      <c r="R785" s="330">
        <v>14000</v>
      </c>
      <c r="S785" s="330">
        <v>2600</v>
      </c>
      <c r="T785" s="326" t="s">
        <v>170</v>
      </c>
      <c r="U785" s="326" t="s">
        <v>2040</v>
      </c>
      <c r="V785" s="332"/>
      <c r="W785" s="333"/>
    </row>
    <row r="786" spans="1:23" ht="45" customHeight="1" x14ac:dyDescent="0.4">
      <c r="A786" s="323">
        <v>740873</v>
      </c>
      <c r="B786" s="324" t="s">
        <v>5008</v>
      </c>
      <c r="C786" s="325" t="s">
        <v>5009</v>
      </c>
      <c r="D786" s="326" t="s">
        <v>2084</v>
      </c>
      <c r="E786" s="327" t="s">
        <v>5010</v>
      </c>
      <c r="F786" s="327"/>
      <c r="G786" s="327" t="s">
        <v>1694</v>
      </c>
      <c r="H786" s="325" t="s">
        <v>3131</v>
      </c>
      <c r="I786" s="325" t="s">
        <v>228</v>
      </c>
      <c r="J786" s="328">
        <v>74</v>
      </c>
      <c r="K786" s="329">
        <v>7431</v>
      </c>
      <c r="L786" s="325" t="s">
        <v>3248</v>
      </c>
      <c r="M786" s="326" t="s">
        <v>226</v>
      </c>
      <c r="N786" s="326" t="s">
        <v>3136</v>
      </c>
      <c r="O786" s="330">
        <v>269.02</v>
      </c>
      <c r="P786" s="330">
        <v>2.84</v>
      </c>
      <c r="Q786" s="331">
        <v>7431</v>
      </c>
      <c r="R786" s="330">
        <v>39000</v>
      </c>
      <c r="S786" s="330">
        <v>6700</v>
      </c>
      <c r="T786" s="326" t="s">
        <v>170</v>
      </c>
      <c r="U786" s="326" t="s">
        <v>2040</v>
      </c>
      <c r="V786" s="332">
        <v>74010</v>
      </c>
      <c r="W786" s="333">
        <v>74056</v>
      </c>
    </row>
    <row r="787" spans="1:23" ht="45" customHeight="1" x14ac:dyDescent="0.4">
      <c r="A787" s="323">
        <v>740874</v>
      </c>
      <c r="B787" s="324" t="s">
        <v>5011</v>
      </c>
      <c r="C787" s="325" t="s">
        <v>5012</v>
      </c>
      <c r="D787" s="326" t="s">
        <v>2084</v>
      </c>
      <c r="E787" s="327" t="s">
        <v>5013</v>
      </c>
      <c r="F787" s="327" t="s">
        <v>3249</v>
      </c>
      <c r="G787" s="327" t="s">
        <v>383</v>
      </c>
      <c r="H787" s="325" t="e">
        <v>#N/A</v>
      </c>
      <c r="I787" s="325" t="e">
        <v>#N/A</v>
      </c>
      <c r="J787" s="328">
        <v>74</v>
      </c>
      <c r="K787" s="329">
        <v>7440</v>
      </c>
      <c r="L787" s="325" t="s">
        <v>3250</v>
      </c>
      <c r="M787" s="326" t="s">
        <v>226</v>
      </c>
      <c r="N787" s="326"/>
      <c r="O787" s="330">
        <v>366.27</v>
      </c>
      <c r="P787" s="330">
        <v>4.72</v>
      </c>
      <c r="Q787" s="331">
        <v>7440</v>
      </c>
      <c r="R787" s="330">
        <v>53000</v>
      </c>
      <c r="S787" s="330">
        <v>10000</v>
      </c>
      <c r="T787" s="326" t="s">
        <v>170</v>
      </c>
      <c r="U787" s="326" t="s">
        <v>2040</v>
      </c>
      <c r="V787" s="332">
        <v>74034</v>
      </c>
      <c r="W787" s="333">
        <v>71432</v>
      </c>
    </row>
    <row r="788" spans="1:23" ht="45" customHeight="1" x14ac:dyDescent="0.4">
      <c r="A788" s="323">
        <v>740883</v>
      </c>
      <c r="B788" s="324" t="s">
        <v>5014</v>
      </c>
      <c r="C788" s="325" t="s">
        <v>3251</v>
      </c>
      <c r="D788" s="326" t="s">
        <v>2084</v>
      </c>
      <c r="E788" s="327" t="s">
        <v>1695</v>
      </c>
      <c r="F788" s="327"/>
      <c r="G788" s="327" t="s">
        <v>1696</v>
      </c>
      <c r="H788" s="325" t="s">
        <v>2986</v>
      </c>
      <c r="I788" s="325" t="s">
        <v>3069</v>
      </c>
      <c r="J788" s="328">
        <v>74</v>
      </c>
      <c r="K788" s="329">
        <v>7417</v>
      </c>
      <c r="L788" s="325" t="s">
        <v>3184</v>
      </c>
      <c r="M788" s="326" t="s">
        <v>226</v>
      </c>
      <c r="N788" s="326"/>
      <c r="O788" s="330">
        <v>276.86</v>
      </c>
      <c r="P788" s="330">
        <v>6.79</v>
      </c>
      <c r="Q788" s="331">
        <v>7417</v>
      </c>
      <c r="R788" s="330">
        <v>43000</v>
      </c>
      <c r="S788" s="330">
        <v>7400</v>
      </c>
      <c r="T788" s="326" t="s">
        <v>170</v>
      </c>
      <c r="U788" s="326" t="s">
        <v>2040</v>
      </c>
      <c r="V788" s="332">
        <v>74066</v>
      </c>
      <c r="W788" s="333">
        <v>74055</v>
      </c>
    </row>
    <row r="789" spans="1:23" ht="45" customHeight="1" x14ac:dyDescent="0.4">
      <c r="A789" s="323">
        <v>740884</v>
      </c>
      <c r="B789" s="324" t="s">
        <v>5015</v>
      </c>
      <c r="C789" s="325" t="s">
        <v>3252</v>
      </c>
      <c r="D789" s="326" t="s">
        <v>2084</v>
      </c>
      <c r="E789" s="327" t="s">
        <v>1697</v>
      </c>
      <c r="F789" s="327" t="s">
        <v>5016</v>
      </c>
      <c r="G789" s="327" t="s">
        <v>1698</v>
      </c>
      <c r="H789" s="325" t="s">
        <v>2986</v>
      </c>
      <c r="I789" s="325" t="s">
        <v>3069</v>
      </c>
      <c r="J789" s="328">
        <v>73</v>
      </c>
      <c r="K789" s="329">
        <v>7371</v>
      </c>
      <c r="L789" s="325" t="s">
        <v>3151</v>
      </c>
      <c r="M789" s="326" t="s">
        <v>226</v>
      </c>
      <c r="N789" s="326" t="s">
        <v>2232</v>
      </c>
      <c r="O789" s="330">
        <v>507</v>
      </c>
      <c r="P789" s="330">
        <v>3.14</v>
      </c>
      <c r="Q789" s="331">
        <v>7371</v>
      </c>
      <c r="R789" s="330">
        <v>51000</v>
      </c>
      <c r="S789" s="330">
        <v>14000</v>
      </c>
      <c r="T789" s="326" t="s">
        <v>170</v>
      </c>
      <c r="U789" s="326" t="s">
        <v>2040</v>
      </c>
      <c r="V789" s="332">
        <v>74017</v>
      </c>
      <c r="W789" s="333">
        <v>74074</v>
      </c>
    </row>
    <row r="790" spans="1:23" ht="45" customHeight="1" x14ac:dyDescent="0.4">
      <c r="A790" s="323">
        <v>744701</v>
      </c>
      <c r="B790" s="324" t="s">
        <v>5017</v>
      </c>
      <c r="C790" s="325" t="s">
        <v>1699</v>
      </c>
      <c r="D790" s="326" t="s">
        <v>2084</v>
      </c>
      <c r="E790" s="327" t="s">
        <v>1700</v>
      </c>
      <c r="F790" s="327" t="s">
        <v>3879</v>
      </c>
      <c r="G790" s="327" t="s">
        <v>1701</v>
      </c>
      <c r="H790" s="325" t="s">
        <v>3253</v>
      </c>
      <c r="I790" s="325" t="s">
        <v>3069</v>
      </c>
      <c r="J790" s="328">
        <v>74</v>
      </c>
      <c r="K790" s="329">
        <v>7449</v>
      </c>
      <c r="L790" s="325" t="s">
        <v>3254</v>
      </c>
      <c r="M790" s="326" t="s">
        <v>226</v>
      </c>
      <c r="N790" s="326"/>
      <c r="O790" s="330">
        <v>250.2</v>
      </c>
      <c r="P790" s="330">
        <v>5.39</v>
      </c>
      <c r="Q790" s="331">
        <v>7449</v>
      </c>
      <c r="R790" s="330">
        <v>4500</v>
      </c>
      <c r="S790" s="330">
        <v>2700</v>
      </c>
      <c r="T790" s="326" t="s">
        <v>170</v>
      </c>
      <c r="U790" s="326" t="s">
        <v>2040</v>
      </c>
      <c r="V790" s="332">
        <v>74076</v>
      </c>
      <c r="W790" s="333">
        <v>73074</v>
      </c>
    </row>
    <row r="791" spans="1:23" ht="45" customHeight="1" x14ac:dyDescent="0.4">
      <c r="A791" s="323">
        <v>750172</v>
      </c>
      <c r="B791" s="324" t="s">
        <v>5018</v>
      </c>
      <c r="C791" s="325" t="s">
        <v>3255</v>
      </c>
      <c r="D791" s="326" t="s">
        <v>2045</v>
      </c>
      <c r="E791" s="327" t="s">
        <v>1702</v>
      </c>
      <c r="F791" s="327"/>
      <c r="G791" s="327" t="s">
        <v>1703</v>
      </c>
      <c r="H791" s="325" t="s">
        <v>2986</v>
      </c>
      <c r="I791" s="325" t="s">
        <v>3069</v>
      </c>
      <c r="J791" s="328">
        <v>75</v>
      </c>
      <c r="K791" s="329">
        <v>7522</v>
      </c>
      <c r="L791" s="325" t="s">
        <v>3256</v>
      </c>
      <c r="M791" s="326" t="s">
        <v>2076</v>
      </c>
      <c r="N791" s="326"/>
      <c r="O791" s="330">
        <v>1405833.87</v>
      </c>
      <c r="P791" s="330">
        <v>9312.25</v>
      </c>
      <c r="Q791" s="331">
        <v>7522</v>
      </c>
      <c r="R791" s="330">
        <v>17</v>
      </c>
      <c r="S791" s="330">
        <v>1</v>
      </c>
      <c r="T791" s="326" t="s">
        <v>170</v>
      </c>
      <c r="U791" s="326" t="s">
        <v>2040</v>
      </c>
      <c r="V791" s="332">
        <v>75020</v>
      </c>
      <c r="W791" s="333">
        <v>75020</v>
      </c>
    </row>
    <row r="792" spans="1:23" ht="45" customHeight="1" x14ac:dyDescent="0.4">
      <c r="A792" s="323">
        <v>750175</v>
      </c>
      <c r="B792" s="324" t="s">
        <v>5019</v>
      </c>
      <c r="C792" s="325" t="s">
        <v>3257</v>
      </c>
      <c r="D792" s="326" t="s">
        <v>2045</v>
      </c>
      <c r="E792" s="327" t="s">
        <v>1704</v>
      </c>
      <c r="F792" s="327"/>
      <c r="G792" s="327" t="s">
        <v>1705</v>
      </c>
      <c r="H792" s="325" t="s">
        <v>2986</v>
      </c>
      <c r="I792" s="325" t="s">
        <v>3069</v>
      </c>
      <c r="J792" s="328">
        <v>75</v>
      </c>
      <c r="K792" s="329">
        <v>7522</v>
      </c>
      <c r="L792" s="325" t="s">
        <v>3256</v>
      </c>
      <c r="M792" s="326" t="s">
        <v>2076</v>
      </c>
      <c r="N792" s="326"/>
      <c r="O792" s="330">
        <v>1405833.87</v>
      </c>
      <c r="P792" s="330">
        <v>9312.25</v>
      </c>
      <c r="Q792" s="331">
        <v>7522</v>
      </c>
      <c r="R792" s="330">
        <v>17</v>
      </c>
      <c r="S792" s="330">
        <v>1</v>
      </c>
      <c r="T792" s="326" t="s">
        <v>170</v>
      </c>
      <c r="U792" s="326" t="s">
        <v>2040</v>
      </c>
      <c r="V792" s="332">
        <v>75022</v>
      </c>
      <c r="W792" s="333">
        <v>75020</v>
      </c>
    </row>
    <row r="793" spans="1:23" ht="45" customHeight="1" x14ac:dyDescent="0.4">
      <c r="A793" s="323">
        <v>750177</v>
      </c>
      <c r="B793" s="324" t="s">
        <v>5020</v>
      </c>
      <c r="C793" s="325" t="s">
        <v>3258</v>
      </c>
      <c r="D793" s="326" t="s">
        <v>2045</v>
      </c>
      <c r="E793" s="327" t="s">
        <v>1706</v>
      </c>
      <c r="F793" s="327" t="s">
        <v>5021</v>
      </c>
      <c r="G793" s="327" t="s">
        <v>1707</v>
      </c>
      <c r="H793" s="325" t="s">
        <v>2986</v>
      </c>
      <c r="I793" s="325" t="s">
        <v>3069</v>
      </c>
      <c r="J793" s="328">
        <v>75</v>
      </c>
      <c r="K793" s="329">
        <v>7523</v>
      </c>
      <c r="L793" s="325" t="s">
        <v>3259</v>
      </c>
      <c r="M793" s="326" t="s">
        <v>2076</v>
      </c>
      <c r="N793" s="326"/>
      <c r="O793" s="330">
        <v>622431.71</v>
      </c>
      <c r="P793" s="330">
        <v>3333.7</v>
      </c>
      <c r="Q793" s="331">
        <v>7523</v>
      </c>
      <c r="R793" s="330">
        <v>1</v>
      </c>
      <c r="S793" s="330">
        <v>1</v>
      </c>
      <c r="T793" s="326" t="s">
        <v>170</v>
      </c>
      <c r="U793" s="326" t="s">
        <v>2040</v>
      </c>
      <c r="V793" s="332">
        <v>75027</v>
      </c>
      <c r="W793" s="333" t="s">
        <v>228</v>
      </c>
    </row>
    <row r="794" spans="1:23" ht="45" customHeight="1" x14ac:dyDescent="0.4">
      <c r="A794" s="323">
        <v>750178</v>
      </c>
      <c r="B794" s="324" t="s">
        <v>5022</v>
      </c>
      <c r="C794" s="325" t="s">
        <v>3260</v>
      </c>
      <c r="D794" s="326" t="s">
        <v>2045</v>
      </c>
      <c r="E794" s="327" t="s">
        <v>5023</v>
      </c>
      <c r="F794" s="327"/>
      <c r="G794" s="327" t="s">
        <v>1708</v>
      </c>
      <c r="H794" s="325" t="s">
        <v>2986</v>
      </c>
      <c r="I794" s="325" t="s">
        <v>3069</v>
      </c>
      <c r="J794" s="328">
        <v>75</v>
      </c>
      <c r="K794" s="329">
        <v>7522</v>
      </c>
      <c r="L794" s="325" t="s">
        <v>3256</v>
      </c>
      <c r="M794" s="326" t="s">
        <v>2076</v>
      </c>
      <c r="N794" s="326"/>
      <c r="O794" s="330">
        <v>1405833.87</v>
      </c>
      <c r="P794" s="330">
        <v>9312.25</v>
      </c>
      <c r="Q794" s="331">
        <v>7522</v>
      </c>
      <c r="R794" s="330">
        <v>17</v>
      </c>
      <c r="S794" s="330">
        <v>1</v>
      </c>
      <c r="T794" s="326" t="s">
        <v>170</v>
      </c>
      <c r="U794" s="326" t="s">
        <v>2040</v>
      </c>
      <c r="V794" s="332">
        <v>75021</v>
      </c>
      <c r="W794" s="333">
        <v>75020</v>
      </c>
    </row>
    <row r="795" spans="1:23" ht="45" customHeight="1" x14ac:dyDescent="0.4">
      <c r="A795" s="323">
        <v>750179</v>
      </c>
      <c r="B795" s="324" t="s">
        <v>5024</v>
      </c>
      <c r="C795" s="325" t="s">
        <v>3261</v>
      </c>
      <c r="D795" s="326" t="s">
        <v>2045</v>
      </c>
      <c r="E795" s="327" t="s">
        <v>1709</v>
      </c>
      <c r="F795" s="327"/>
      <c r="G795" s="327" t="s">
        <v>1710</v>
      </c>
      <c r="H795" s="325" t="s">
        <v>2986</v>
      </c>
      <c r="I795" s="325" t="s">
        <v>3069</v>
      </c>
      <c r="J795" s="328">
        <v>75</v>
      </c>
      <c r="K795" s="329">
        <v>7522</v>
      </c>
      <c r="L795" s="325" t="s">
        <v>3256</v>
      </c>
      <c r="M795" s="326" t="s">
        <v>2076</v>
      </c>
      <c r="N795" s="326"/>
      <c r="O795" s="330">
        <v>1405833.87</v>
      </c>
      <c r="P795" s="330">
        <v>9312.25</v>
      </c>
      <c r="Q795" s="331">
        <v>7522</v>
      </c>
      <c r="R795" s="330">
        <v>17</v>
      </c>
      <c r="S795" s="330">
        <v>1</v>
      </c>
      <c r="T795" s="326" t="s">
        <v>170</v>
      </c>
      <c r="U795" s="326" t="s">
        <v>2040</v>
      </c>
      <c r="V795" s="332" t="s">
        <v>3262</v>
      </c>
      <c r="W795" s="333">
        <v>75020</v>
      </c>
    </row>
    <row r="796" spans="1:23" ht="45" customHeight="1" x14ac:dyDescent="0.4">
      <c r="A796" s="323">
        <v>750211</v>
      </c>
      <c r="B796" s="324" t="s">
        <v>3263</v>
      </c>
      <c r="C796" s="325" t="s">
        <v>1711</v>
      </c>
      <c r="D796" s="326" t="s">
        <v>2045</v>
      </c>
      <c r="E796" s="327" t="s">
        <v>1712</v>
      </c>
      <c r="F796" s="327"/>
      <c r="G796" s="327" t="s">
        <v>1713</v>
      </c>
      <c r="H796" s="325" t="s">
        <v>2986</v>
      </c>
      <c r="I796" s="325" t="s">
        <v>3069</v>
      </c>
      <c r="J796" s="328">
        <v>75</v>
      </c>
      <c r="K796" s="329">
        <v>7524</v>
      </c>
      <c r="L796" s="325" t="s">
        <v>3263</v>
      </c>
      <c r="M796" s="326" t="s">
        <v>2076</v>
      </c>
      <c r="N796" s="326"/>
      <c r="O796" s="330">
        <v>4368411.33</v>
      </c>
      <c r="P796" s="330">
        <v>41331.480000000003</v>
      </c>
      <c r="Q796" s="331">
        <v>7524</v>
      </c>
      <c r="R796" s="330">
        <v>1</v>
      </c>
      <c r="S796" s="330">
        <v>1</v>
      </c>
      <c r="T796" s="326" t="s">
        <v>170</v>
      </c>
      <c r="U796" s="326" t="s">
        <v>2040</v>
      </c>
      <c r="V796" s="332">
        <v>75060</v>
      </c>
      <c r="W796" s="333" t="s">
        <v>228</v>
      </c>
    </row>
    <row r="797" spans="1:23" ht="45" customHeight="1" x14ac:dyDescent="0.4">
      <c r="A797" s="335">
        <v>750340</v>
      </c>
      <c r="B797" s="324" t="s">
        <v>5025</v>
      </c>
      <c r="C797" s="325" t="s">
        <v>5026</v>
      </c>
      <c r="D797" s="326" t="s">
        <v>2045</v>
      </c>
      <c r="E797" s="327" t="s">
        <v>3755</v>
      </c>
      <c r="F797" s="327"/>
      <c r="G797" s="327" t="s">
        <v>383</v>
      </c>
      <c r="H797" s="325" t="e">
        <v>#N/A</v>
      </c>
      <c r="I797" s="325" t="e">
        <v>#N/A</v>
      </c>
      <c r="J797" s="326">
        <v>75</v>
      </c>
      <c r="K797" s="329">
        <v>7512</v>
      </c>
      <c r="L797" s="325" t="s">
        <v>3295</v>
      </c>
      <c r="M797" s="326" t="s">
        <v>2076</v>
      </c>
      <c r="N797" s="326"/>
      <c r="O797" s="330">
        <v>1473723.05</v>
      </c>
      <c r="P797" s="330">
        <v>16033.52</v>
      </c>
      <c r="Q797" s="331">
        <v>7512</v>
      </c>
      <c r="R797" s="330">
        <v>1</v>
      </c>
      <c r="S797" s="330">
        <v>1</v>
      </c>
      <c r="T797" s="326" t="s">
        <v>170</v>
      </c>
      <c r="U797" s="326" t="s">
        <v>2040</v>
      </c>
      <c r="V797" s="332"/>
      <c r="W797" s="333"/>
    </row>
    <row r="798" spans="1:23" ht="45" customHeight="1" x14ac:dyDescent="0.4">
      <c r="A798" s="323">
        <v>750347</v>
      </c>
      <c r="B798" s="324" t="s">
        <v>5027</v>
      </c>
      <c r="C798" s="325" t="s">
        <v>3264</v>
      </c>
      <c r="D798" s="326" t="s">
        <v>2045</v>
      </c>
      <c r="E798" s="327" t="s">
        <v>1714</v>
      </c>
      <c r="F798" s="327"/>
      <c r="G798" s="327" t="s">
        <v>1715</v>
      </c>
      <c r="H798" s="325" t="s">
        <v>2986</v>
      </c>
      <c r="I798" s="325" t="s">
        <v>3069</v>
      </c>
      <c r="J798" s="328">
        <v>75</v>
      </c>
      <c r="K798" s="329">
        <v>7521</v>
      </c>
      <c r="L798" s="325" t="s">
        <v>3265</v>
      </c>
      <c r="M798" s="326" t="s">
        <v>2076</v>
      </c>
      <c r="N798" s="326"/>
      <c r="O798" s="330">
        <v>229004.82</v>
      </c>
      <c r="P798" s="330">
        <v>3333.7</v>
      </c>
      <c r="Q798" s="331">
        <v>7521</v>
      </c>
      <c r="R798" s="330">
        <v>32</v>
      </c>
      <c r="S798" s="330">
        <v>1</v>
      </c>
      <c r="T798" s="326" t="s">
        <v>170</v>
      </c>
      <c r="U798" s="326" t="s">
        <v>2040</v>
      </c>
      <c r="V798" s="332">
        <v>75011</v>
      </c>
      <c r="W798" s="333">
        <v>75010</v>
      </c>
    </row>
    <row r="799" spans="1:23" ht="45" customHeight="1" x14ac:dyDescent="0.4">
      <c r="A799" s="323">
        <v>750348</v>
      </c>
      <c r="B799" s="324" t="s">
        <v>5028</v>
      </c>
      <c r="C799" s="325" t="s">
        <v>1716</v>
      </c>
      <c r="D799" s="326" t="s">
        <v>2045</v>
      </c>
      <c r="E799" s="327" t="s">
        <v>5029</v>
      </c>
      <c r="F799" s="327"/>
      <c r="G799" s="327" t="s">
        <v>383</v>
      </c>
      <c r="H799" s="325" t="e">
        <v>#N/A</v>
      </c>
      <c r="I799" s="325" t="e">
        <v>#N/A</v>
      </c>
      <c r="J799" s="328">
        <v>75</v>
      </c>
      <c r="K799" s="329">
        <v>7521</v>
      </c>
      <c r="L799" s="325" t="s">
        <v>3265</v>
      </c>
      <c r="M799" s="326" t="s">
        <v>2076</v>
      </c>
      <c r="N799" s="326"/>
      <c r="O799" s="330">
        <v>229004.82</v>
      </c>
      <c r="P799" s="330">
        <v>3333.7</v>
      </c>
      <c r="Q799" s="331">
        <v>7521</v>
      </c>
      <c r="R799" s="330">
        <v>32</v>
      </c>
      <c r="S799" s="330">
        <v>1</v>
      </c>
      <c r="T799" s="326" t="s">
        <v>170</v>
      </c>
      <c r="U799" s="326" t="s">
        <v>2040</v>
      </c>
      <c r="V799" s="332">
        <v>75011</v>
      </c>
      <c r="W799" s="333">
        <v>75010</v>
      </c>
    </row>
    <row r="800" spans="1:23" ht="45" customHeight="1" x14ac:dyDescent="0.4">
      <c r="A800" s="323">
        <v>750349</v>
      </c>
      <c r="B800" s="324" t="s">
        <v>5030</v>
      </c>
      <c r="C800" s="325" t="s">
        <v>3266</v>
      </c>
      <c r="D800" s="326" t="s">
        <v>2045</v>
      </c>
      <c r="E800" s="327" t="s">
        <v>1717</v>
      </c>
      <c r="F800" s="327" t="s">
        <v>5031</v>
      </c>
      <c r="G800" s="327" t="s">
        <v>1718</v>
      </c>
      <c r="H800" s="325" t="s">
        <v>2986</v>
      </c>
      <c r="I800" s="325" t="s">
        <v>3069</v>
      </c>
      <c r="J800" s="328">
        <v>75</v>
      </c>
      <c r="K800" s="329">
        <v>7521</v>
      </c>
      <c r="L800" s="325" t="s">
        <v>3265</v>
      </c>
      <c r="M800" s="326" t="s">
        <v>2076</v>
      </c>
      <c r="N800" s="326"/>
      <c r="O800" s="330">
        <v>229004.82</v>
      </c>
      <c r="P800" s="330">
        <v>3333.7</v>
      </c>
      <c r="Q800" s="331">
        <v>7521</v>
      </c>
      <c r="R800" s="330">
        <v>32</v>
      </c>
      <c r="S800" s="330">
        <v>1</v>
      </c>
      <c r="T800" s="326" t="s">
        <v>170</v>
      </c>
      <c r="U800" s="326" t="s">
        <v>2040</v>
      </c>
      <c r="V800" s="332">
        <v>75011</v>
      </c>
      <c r="W800" s="333">
        <v>75010</v>
      </c>
    </row>
    <row r="801" spans="1:263" s="338" customFormat="1" ht="45" customHeight="1" x14ac:dyDescent="0.4">
      <c r="A801" s="323">
        <v>750371</v>
      </c>
      <c r="B801" s="324" t="s">
        <v>5032</v>
      </c>
      <c r="C801" s="325" t="s">
        <v>3267</v>
      </c>
      <c r="D801" s="326" t="s">
        <v>2045</v>
      </c>
      <c r="E801" s="327" t="s">
        <v>5033</v>
      </c>
      <c r="F801" s="327"/>
      <c r="G801" s="327" t="s">
        <v>1719</v>
      </c>
      <c r="H801" s="325" t="s">
        <v>2986</v>
      </c>
      <c r="I801" s="325" t="s">
        <v>3069</v>
      </c>
      <c r="J801" s="328">
        <v>75</v>
      </c>
      <c r="K801" s="329">
        <v>7531</v>
      </c>
      <c r="L801" s="325" t="s">
        <v>3268</v>
      </c>
      <c r="M801" s="326" t="s">
        <v>226</v>
      </c>
      <c r="N801" s="326"/>
      <c r="O801" s="330">
        <v>147.11000000000001</v>
      </c>
      <c r="P801" s="330">
        <v>0.68</v>
      </c>
      <c r="Q801" s="331">
        <v>7531</v>
      </c>
      <c r="R801" s="330">
        <v>45000</v>
      </c>
      <c r="S801" s="330">
        <v>790</v>
      </c>
      <c r="T801" s="326" t="s">
        <v>170</v>
      </c>
      <c r="U801" s="326" t="s">
        <v>2040</v>
      </c>
      <c r="V801" s="332">
        <v>75052</v>
      </c>
      <c r="W801" s="333">
        <v>74078</v>
      </c>
      <c r="X801" s="321"/>
      <c r="Y801" s="321"/>
      <c r="Z801" s="321"/>
      <c r="AA801" s="321"/>
      <c r="AB801" s="321"/>
      <c r="AC801" s="321"/>
      <c r="AD801" s="321"/>
      <c r="AE801" s="321"/>
      <c r="AF801" s="321"/>
      <c r="AG801" s="321"/>
      <c r="AH801" s="321"/>
      <c r="AI801" s="321"/>
      <c r="AJ801" s="321"/>
      <c r="AK801" s="321"/>
      <c r="AL801" s="321"/>
      <c r="AM801" s="321"/>
      <c r="AN801" s="321"/>
      <c r="AO801" s="321"/>
      <c r="AP801" s="321"/>
      <c r="AQ801" s="321"/>
      <c r="AR801" s="321"/>
      <c r="AS801" s="321"/>
      <c r="AT801" s="321"/>
      <c r="AU801" s="321"/>
      <c r="AV801" s="321"/>
      <c r="AW801" s="321"/>
      <c r="AX801" s="321"/>
      <c r="AY801" s="321"/>
      <c r="AZ801" s="321"/>
      <c r="BA801" s="321"/>
      <c r="BB801" s="321"/>
      <c r="BC801" s="321"/>
      <c r="BD801" s="321"/>
      <c r="BE801" s="321"/>
      <c r="BF801" s="321"/>
      <c r="BG801" s="321"/>
      <c r="BH801" s="321"/>
      <c r="BI801" s="321"/>
      <c r="BJ801" s="321"/>
      <c r="BK801" s="321"/>
      <c r="BL801" s="321"/>
      <c r="BM801" s="321"/>
      <c r="BN801" s="321"/>
      <c r="BO801" s="321"/>
      <c r="BP801" s="321"/>
      <c r="BQ801" s="321"/>
      <c r="BR801" s="321"/>
      <c r="BS801" s="321"/>
      <c r="BT801" s="321"/>
      <c r="BU801" s="321"/>
      <c r="BV801" s="321"/>
      <c r="BW801" s="321"/>
      <c r="BX801" s="321"/>
      <c r="BY801" s="321"/>
      <c r="BZ801" s="321"/>
      <c r="CA801" s="321"/>
      <c r="CB801" s="321"/>
      <c r="CC801" s="321"/>
      <c r="CD801" s="321"/>
      <c r="CE801" s="321"/>
      <c r="CF801" s="321"/>
      <c r="CG801" s="321"/>
      <c r="CH801" s="321"/>
      <c r="CI801" s="321"/>
      <c r="CJ801" s="321"/>
      <c r="CK801" s="321"/>
      <c r="CL801" s="321"/>
      <c r="CM801" s="321"/>
      <c r="CN801" s="321"/>
      <c r="CO801" s="321"/>
      <c r="CP801" s="321"/>
      <c r="CQ801" s="321"/>
      <c r="CR801" s="321"/>
      <c r="CS801" s="321"/>
      <c r="CT801" s="321"/>
      <c r="CU801" s="321"/>
      <c r="CV801" s="321"/>
      <c r="CW801" s="321"/>
      <c r="CX801" s="321"/>
      <c r="CY801" s="321"/>
      <c r="CZ801" s="321"/>
      <c r="DA801" s="321"/>
      <c r="DB801" s="321"/>
      <c r="DC801" s="321"/>
      <c r="DD801" s="321"/>
      <c r="DE801" s="321"/>
      <c r="DF801" s="321"/>
      <c r="DG801" s="321"/>
      <c r="DH801" s="321"/>
      <c r="DI801" s="321"/>
      <c r="DJ801" s="321"/>
      <c r="DK801" s="321"/>
      <c r="DL801" s="321"/>
      <c r="DM801" s="321"/>
      <c r="DN801" s="321"/>
      <c r="DO801" s="321"/>
      <c r="DP801" s="321"/>
      <c r="DQ801" s="321"/>
      <c r="DR801" s="321"/>
      <c r="DS801" s="321"/>
      <c r="DT801" s="321"/>
      <c r="DU801" s="321"/>
      <c r="DV801" s="321"/>
      <c r="DW801" s="321"/>
      <c r="DX801" s="321"/>
      <c r="DY801" s="321"/>
      <c r="DZ801" s="321"/>
      <c r="EA801" s="321"/>
      <c r="EB801" s="321"/>
      <c r="EC801" s="321"/>
      <c r="ED801" s="321"/>
      <c r="EE801" s="321"/>
      <c r="EF801" s="321"/>
      <c r="EG801" s="321"/>
      <c r="EH801" s="321"/>
      <c r="EI801" s="321"/>
      <c r="EJ801" s="321"/>
      <c r="EK801" s="321"/>
      <c r="EL801" s="321"/>
      <c r="EM801" s="321"/>
      <c r="EN801" s="321"/>
      <c r="EO801" s="321"/>
      <c r="EP801" s="321"/>
      <c r="EQ801" s="321"/>
      <c r="ER801" s="321"/>
      <c r="ES801" s="321"/>
      <c r="ET801" s="321"/>
      <c r="EU801" s="321"/>
      <c r="EV801" s="321"/>
      <c r="EW801" s="321"/>
      <c r="EX801" s="321"/>
      <c r="EY801" s="321"/>
      <c r="EZ801" s="321"/>
      <c r="FA801" s="321"/>
      <c r="FB801" s="321"/>
      <c r="FC801" s="321"/>
      <c r="FD801" s="321"/>
      <c r="FE801" s="321"/>
      <c r="FF801" s="321"/>
      <c r="FG801" s="321"/>
      <c r="FH801" s="321"/>
      <c r="FI801" s="321"/>
      <c r="FJ801" s="321"/>
      <c r="FK801" s="321"/>
      <c r="FL801" s="321"/>
      <c r="FM801" s="321"/>
      <c r="FN801" s="321"/>
      <c r="FO801" s="321"/>
      <c r="FP801" s="321"/>
      <c r="FQ801" s="321"/>
      <c r="FR801" s="321"/>
      <c r="FS801" s="321"/>
      <c r="FT801" s="321"/>
      <c r="FU801" s="321"/>
      <c r="FV801" s="321"/>
      <c r="FW801" s="321"/>
      <c r="FX801" s="321"/>
      <c r="FY801" s="321"/>
      <c r="FZ801" s="321"/>
      <c r="GA801" s="321"/>
      <c r="GB801" s="321"/>
      <c r="GC801" s="321"/>
      <c r="GD801" s="321"/>
      <c r="GE801" s="321"/>
      <c r="GF801" s="321"/>
      <c r="GG801" s="321"/>
      <c r="GH801" s="321"/>
      <c r="GI801" s="321"/>
      <c r="GJ801" s="321"/>
      <c r="GK801" s="321"/>
      <c r="GL801" s="321"/>
      <c r="GM801" s="321"/>
      <c r="GN801" s="321"/>
      <c r="GO801" s="321"/>
      <c r="GP801" s="321"/>
      <c r="GQ801" s="321"/>
      <c r="GR801" s="321"/>
      <c r="GS801" s="321"/>
      <c r="GT801" s="321"/>
      <c r="GU801" s="321"/>
      <c r="GV801" s="321"/>
      <c r="GW801" s="321"/>
      <c r="GX801" s="321"/>
      <c r="GY801" s="321"/>
      <c r="GZ801" s="321"/>
      <c r="HA801" s="321"/>
      <c r="HB801" s="321"/>
      <c r="HC801" s="321"/>
      <c r="HD801" s="321"/>
      <c r="HE801" s="321"/>
      <c r="HF801" s="321"/>
      <c r="HG801" s="321"/>
      <c r="HH801" s="321"/>
      <c r="HI801" s="321"/>
      <c r="HJ801" s="321"/>
      <c r="HK801" s="321"/>
      <c r="HL801" s="321"/>
      <c r="HM801" s="321"/>
      <c r="HN801" s="321"/>
      <c r="HO801" s="321"/>
      <c r="HP801" s="321"/>
      <c r="HQ801" s="321"/>
      <c r="HR801" s="321"/>
      <c r="HS801" s="321"/>
      <c r="HT801" s="321"/>
      <c r="HU801" s="321"/>
      <c r="HV801" s="321"/>
      <c r="HW801" s="321"/>
      <c r="HX801" s="321"/>
      <c r="HY801" s="321"/>
      <c r="HZ801" s="321"/>
      <c r="IA801" s="321"/>
      <c r="IB801" s="321"/>
      <c r="IC801" s="321"/>
      <c r="ID801" s="321"/>
      <c r="IE801" s="321"/>
      <c r="IF801" s="321"/>
      <c r="IG801" s="321"/>
      <c r="IH801" s="321"/>
      <c r="II801" s="321"/>
      <c r="IJ801" s="321"/>
      <c r="IK801" s="321"/>
      <c r="IL801" s="321"/>
      <c r="IM801" s="321"/>
      <c r="IN801" s="321"/>
      <c r="IO801" s="321"/>
      <c r="IP801" s="321"/>
      <c r="IQ801" s="321"/>
      <c r="IR801" s="321"/>
      <c r="IS801" s="321"/>
      <c r="IT801" s="321"/>
      <c r="IU801" s="321"/>
      <c r="IV801" s="321"/>
      <c r="IW801" s="321"/>
      <c r="IX801" s="321"/>
      <c r="IY801" s="321"/>
      <c r="IZ801" s="321"/>
      <c r="JA801" s="321"/>
      <c r="JB801" s="321"/>
      <c r="JC801" s="321"/>
    </row>
    <row r="802" spans="1:263" s="338" customFormat="1" ht="45" customHeight="1" x14ac:dyDescent="0.4">
      <c r="A802" s="323">
        <v>750422</v>
      </c>
      <c r="B802" s="324" t="s">
        <v>5034</v>
      </c>
      <c r="C802" s="325" t="s">
        <v>3269</v>
      </c>
      <c r="D802" s="326" t="s">
        <v>2084</v>
      </c>
      <c r="E802" s="327" t="s">
        <v>1720</v>
      </c>
      <c r="F802" s="327"/>
      <c r="G802" s="327" t="s">
        <v>1721</v>
      </c>
      <c r="H802" s="325" t="s">
        <v>2986</v>
      </c>
      <c r="I802" s="325" t="s">
        <v>3069</v>
      </c>
      <c r="J802" s="328">
        <v>74</v>
      </c>
      <c r="K802" s="329">
        <v>7413</v>
      </c>
      <c r="L802" s="325" t="s">
        <v>3270</v>
      </c>
      <c r="M802" s="326" t="s">
        <v>226</v>
      </c>
      <c r="N802" s="326"/>
      <c r="O802" s="330">
        <v>211.07</v>
      </c>
      <c r="P802" s="330">
        <v>9.81</v>
      </c>
      <c r="Q802" s="331">
        <v>7413</v>
      </c>
      <c r="R802" s="330">
        <v>24000</v>
      </c>
      <c r="S802" s="330">
        <v>4600</v>
      </c>
      <c r="T802" s="326" t="s">
        <v>170</v>
      </c>
      <c r="U802" s="326" t="s">
        <v>2040</v>
      </c>
      <c r="V802" s="332">
        <v>74030</v>
      </c>
      <c r="W802" s="333">
        <v>74080</v>
      </c>
      <c r="X802" s="321"/>
      <c r="Y802" s="321"/>
      <c r="Z802" s="321"/>
      <c r="AA802" s="321"/>
      <c r="AB802" s="321"/>
      <c r="AC802" s="321"/>
      <c r="AD802" s="321"/>
      <c r="AE802" s="321"/>
      <c r="AF802" s="321"/>
      <c r="AG802" s="321"/>
      <c r="AH802" s="321"/>
      <c r="AI802" s="321"/>
      <c r="AJ802" s="321"/>
      <c r="AK802" s="321"/>
      <c r="AL802" s="321"/>
      <c r="AM802" s="321"/>
      <c r="AN802" s="321"/>
      <c r="AO802" s="321"/>
      <c r="AP802" s="321"/>
      <c r="AQ802" s="321"/>
      <c r="AR802" s="321"/>
      <c r="AS802" s="321"/>
      <c r="AT802" s="321"/>
      <c r="AU802" s="321"/>
      <c r="AV802" s="321"/>
      <c r="AW802" s="321"/>
      <c r="AX802" s="321"/>
      <c r="AY802" s="321"/>
      <c r="AZ802" s="321"/>
      <c r="BA802" s="321"/>
      <c r="BB802" s="321"/>
      <c r="BC802" s="321"/>
      <c r="BD802" s="321"/>
      <c r="BE802" s="321"/>
      <c r="BF802" s="321"/>
      <c r="BG802" s="321"/>
      <c r="BH802" s="321"/>
      <c r="BI802" s="321"/>
      <c r="BJ802" s="321"/>
      <c r="BK802" s="321"/>
      <c r="BL802" s="321"/>
      <c r="BM802" s="321"/>
      <c r="BN802" s="321"/>
      <c r="BO802" s="321"/>
      <c r="BP802" s="321"/>
      <c r="BQ802" s="321"/>
      <c r="BR802" s="321"/>
      <c r="BS802" s="321"/>
      <c r="BT802" s="321"/>
      <c r="BU802" s="321"/>
      <c r="BV802" s="321"/>
      <c r="BW802" s="321"/>
      <c r="BX802" s="321"/>
      <c r="BY802" s="321"/>
      <c r="BZ802" s="321"/>
      <c r="CA802" s="321"/>
      <c r="CB802" s="321"/>
      <c r="CC802" s="321"/>
      <c r="CD802" s="321"/>
      <c r="CE802" s="321"/>
      <c r="CF802" s="321"/>
      <c r="CG802" s="321"/>
      <c r="CH802" s="321"/>
      <c r="CI802" s="321"/>
      <c r="CJ802" s="321"/>
      <c r="CK802" s="321"/>
      <c r="CL802" s="321"/>
      <c r="CM802" s="321"/>
      <c r="CN802" s="321"/>
      <c r="CO802" s="321"/>
      <c r="CP802" s="321"/>
      <c r="CQ802" s="321"/>
      <c r="CR802" s="321"/>
      <c r="CS802" s="321"/>
      <c r="CT802" s="321"/>
      <c r="CU802" s="321"/>
      <c r="CV802" s="321"/>
      <c r="CW802" s="321"/>
      <c r="CX802" s="321"/>
      <c r="CY802" s="321"/>
      <c r="CZ802" s="321"/>
      <c r="DA802" s="321"/>
      <c r="DB802" s="321"/>
      <c r="DC802" s="321"/>
      <c r="DD802" s="321"/>
      <c r="DE802" s="321"/>
      <c r="DF802" s="321"/>
      <c r="DG802" s="321"/>
      <c r="DH802" s="321"/>
      <c r="DI802" s="321"/>
      <c r="DJ802" s="321"/>
      <c r="DK802" s="321"/>
      <c r="DL802" s="321"/>
      <c r="DM802" s="321"/>
      <c r="DN802" s="321"/>
      <c r="DO802" s="321"/>
      <c r="DP802" s="321"/>
      <c r="DQ802" s="321"/>
      <c r="DR802" s="321"/>
      <c r="DS802" s="321"/>
      <c r="DT802" s="321"/>
      <c r="DU802" s="321"/>
      <c r="DV802" s="321"/>
      <c r="DW802" s="321"/>
      <c r="DX802" s="321"/>
      <c r="DY802" s="321"/>
      <c r="DZ802" s="321"/>
      <c r="EA802" s="321"/>
      <c r="EB802" s="321"/>
      <c r="EC802" s="321"/>
      <c r="ED802" s="321"/>
      <c r="EE802" s="321"/>
      <c r="EF802" s="321"/>
      <c r="EG802" s="321"/>
      <c r="EH802" s="321"/>
      <c r="EI802" s="321"/>
      <c r="EJ802" s="321"/>
      <c r="EK802" s="321"/>
      <c r="EL802" s="321"/>
      <c r="EM802" s="321"/>
      <c r="EN802" s="321"/>
      <c r="EO802" s="321"/>
      <c r="EP802" s="321"/>
      <c r="EQ802" s="321"/>
      <c r="ER802" s="321"/>
      <c r="ES802" s="321"/>
      <c r="ET802" s="321"/>
      <c r="EU802" s="321"/>
      <c r="EV802" s="321"/>
      <c r="EW802" s="321"/>
      <c r="EX802" s="321"/>
      <c r="EY802" s="321"/>
      <c r="EZ802" s="321"/>
      <c r="FA802" s="321"/>
      <c r="FB802" s="321"/>
      <c r="FC802" s="321"/>
      <c r="FD802" s="321"/>
      <c r="FE802" s="321"/>
      <c r="FF802" s="321"/>
      <c r="FG802" s="321"/>
      <c r="FH802" s="321"/>
      <c r="FI802" s="321"/>
      <c r="FJ802" s="321"/>
      <c r="FK802" s="321"/>
      <c r="FL802" s="321"/>
      <c r="FM802" s="321"/>
      <c r="FN802" s="321"/>
      <c r="FO802" s="321"/>
      <c r="FP802" s="321"/>
      <c r="FQ802" s="321"/>
      <c r="FR802" s="321"/>
      <c r="FS802" s="321"/>
      <c r="FT802" s="321"/>
      <c r="FU802" s="321"/>
      <c r="FV802" s="321"/>
      <c r="FW802" s="321"/>
      <c r="FX802" s="321"/>
      <c r="FY802" s="321"/>
      <c r="FZ802" s="321"/>
      <c r="GA802" s="321"/>
      <c r="GB802" s="321"/>
      <c r="GC802" s="321"/>
      <c r="GD802" s="321"/>
      <c r="GE802" s="321"/>
      <c r="GF802" s="321"/>
      <c r="GG802" s="321"/>
      <c r="GH802" s="321"/>
      <c r="GI802" s="321"/>
      <c r="GJ802" s="321"/>
      <c r="GK802" s="321"/>
      <c r="GL802" s="321"/>
      <c r="GM802" s="321"/>
      <c r="GN802" s="321"/>
      <c r="GO802" s="321"/>
      <c r="GP802" s="321"/>
      <c r="GQ802" s="321"/>
      <c r="GR802" s="321"/>
      <c r="GS802" s="321"/>
      <c r="GT802" s="321"/>
      <c r="GU802" s="321"/>
      <c r="GV802" s="321"/>
      <c r="GW802" s="321"/>
      <c r="GX802" s="321"/>
      <c r="GY802" s="321"/>
      <c r="GZ802" s="321"/>
      <c r="HA802" s="321"/>
      <c r="HB802" s="321"/>
      <c r="HC802" s="321"/>
      <c r="HD802" s="321"/>
      <c r="HE802" s="321"/>
      <c r="HF802" s="321"/>
      <c r="HG802" s="321"/>
      <c r="HH802" s="321"/>
      <c r="HI802" s="321"/>
      <c r="HJ802" s="321"/>
      <c r="HK802" s="321"/>
      <c r="HL802" s="321"/>
      <c r="HM802" s="321"/>
      <c r="HN802" s="321"/>
      <c r="HO802" s="321"/>
      <c r="HP802" s="321"/>
      <c r="HQ802" s="321"/>
      <c r="HR802" s="321"/>
      <c r="HS802" s="321"/>
      <c r="HT802" s="321"/>
      <c r="HU802" s="321"/>
      <c r="HV802" s="321"/>
      <c r="HW802" s="321"/>
      <c r="HX802" s="321"/>
      <c r="HY802" s="321"/>
      <c r="HZ802" s="321"/>
      <c r="IA802" s="321"/>
      <c r="IB802" s="321"/>
      <c r="IC802" s="321"/>
      <c r="ID802" s="321"/>
      <c r="IE802" s="321"/>
      <c r="IF802" s="321"/>
      <c r="IG802" s="321"/>
      <c r="IH802" s="321"/>
      <c r="II802" s="321"/>
      <c r="IJ802" s="321"/>
      <c r="IK802" s="321"/>
      <c r="IL802" s="321"/>
      <c r="IM802" s="321"/>
      <c r="IN802" s="321"/>
      <c r="IO802" s="321"/>
      <c r="IP802" s="321"/>
      <c r="IQ802" s="321"/>
      <c r="IR802" s="321"/>
      <c r="IS802" s="321"/>
      <c r="IT802" s="321"/>
      <c r="IU802" s="321"/>
      <c r="IV802" s="321"/>
      <c r="IW802" s="321"/>
      <c r="IX802" s="321"/>
      <c r="IY802" s="321"/>
      <c r="IZ802" s="321"/>
      <c r="JA802" s="321"/>
      <c r="JB802" s="321"/>
      <c r="JC802" s="321"/>
    </row>
    <row r="803" spans="1:263" s="338" customFormat="1" ht="45" customHeight="1" x14ac:dyDescent="0.4">
      <c r="A803" s="323">
        <v>750423</v>
      </c>
      <c r="B803" s="324" t="s">
        <v>5035</v>
      </c>
      <c r="C803" s="325" t="s">
        <v>3271</v>
      </c>
      <c r="D803" s="326" t="s">
        <v>2084</v>
      </c>
      <c r="E803" s="327" t="s">
        <v>1722</v>
      </c>
      <c r="F803" s="327"/>
      <c r="G803" s="327" t="s">
        <v>1723</v>
      </c>
      <c r="H803" s="325" t="s">
        <v>2986</v>
      </c>
      <c r="I803" s="325" t="s">
        <v>3069</v>
      </c>
      <c r="J803" s="328">
        <v>74</v>
      </c>
      <c r="K803" s="329">
        <v>7413</v>
      </c>
      <c r="L803" s="325" t="s">
        <v>3270</v>
      </c>
      <c r="M803" s="326" t="s">
        <v>226</v>
      </c>
      <c r="N803" s="326"/>
      <c r="O803" s="330">
        <v>211.07</v>
      </c>
      <c r="P803" s="330">
        <v>9.81</v>
      </c>
      <c r="Q803" s="331">
        <v>7413</v>
      </c>
      <c r="R803" s="330">
        <v>24000</v>
      </c>
      <c r="S803" s="330">
        <v>4600</v>
      </c>
      <c r="T803" s="326" t="s">
        <v>170</v>
      </c>
      <c r="U803" s="326" t="s">
        <v>2040</v>
      </c>
      <c r="V803" s="332">
        <v>74031</v>
      </c>
      <c r="W803" s="333" t="s">
        <v>228</v>
      </c>
      <c r="X803" s="321"/>
      <c r="Y803" s="321"/>
      <c r="Z803" s="321"/>
      <c r="AA803" s="321"/>
      <c r="AB803" s="321"/>
      <c r="AC803" s="321"/>
      <c r="AD803" s="321"/>
      <c r="AE803" s="321"/>
      <c r="AF803" s="321"/>
      <c r="AG803" s="321"/>
      <c r="AH803" s="321"/>
      <c r="AI803" s="321"/>
      <c r="AJ803" s="321"/>
      <c r="AK803" s="321"/>
      <c r="AL803" s="321"/>
      <c r="AM803" s="321"/>
      <c r="AN803" s="321"/>
      <c r="AO803" s="321"/>
      <c r="AP803" s="321"/>
      <c r="AQ803" s="321"/>
      <c r="AR803" s="321"/>
      <c r="AS803" s="321"/>
      <c r="AT803" s="321"/>
      <c r="AU803" s="321"/>
      <c r="AV803" s="321"/>
      <c r="AW803" s="321"/>
      <c r="AX803" s="321"/>
      <c r="AY803" s="321"/>
      <c r="AZ803" s="321"/>
      <c r="BA803" s="321"/>
      <c r="BB803" s="321"/>
      <c r="BC803" s="321"/>
      <c r="BD803" s="321"/>
      <c r="BE803" s="321"/>
      <c r="BF803" s="321"/>
      <c r="BG803" s="321"/>
      <c r="BH803" s="321"/>
      <c r="BI803" s="321"/>
      <c r="BJ803" s="321"/>
      <c r="BK803" s="321"/>
      <c r="BL803" s="321"/>
      <c r="BM803" s="321"/>
      <c r="BN803" s="321"/>
      <c r="BO803" s="321"/>
      <c r="BP803" s="321"/>
      <c r="BQ803" s="321"/>
      <c r="BR803" s="321"/>
      <c r="BS803" s="321"/>
      <c r="BT803" s="321"/>
      <c r="BU803" s="321"/>
      <c r="BV803" s="321"/>
      <c r="BW803" s="321"/>
      <c r="BX803" s="321"/>
      <c r="BY803" s="321"/>
      <c r="BZ803" s="321"/>
      <c r="CA803" s="321"/>
      <c r="CB803" s="321"/>
      <c r="CC803" s="321"/>
      <c r="CD803" s="321"/>
      <c r="CE803" s="321"/>
      <c r="CF803" s="321"/>
      <c r="CG803" s="321"/>
      <c r="CH803" s="321"/>
      <c r="CI803" s="321"/>
      <c r="CJ803" s="321"/>
      <c r="CK803" s="321"/>
      <c r="CL803" s="321"/>
      <c r="CM803" s="321"/>
      <c r="CN803" s="321"/>
      <c r="CO803" s="321"/>
      <c r="CP803" s="321"/>
      <c r="CQ803" s="321"/>
      <c r="CR803" s="321"/>
      <c r="CS803" s="321"/>
      <c r="CT803" s="321"/>
      <c r="CU803" s="321"/>
      <c r="CV803" s="321"/>
      <c r="CW803" s="321"/>
      <c r="CX803" s="321"/>
      <c r="CY803" s="321"/>
      <c r="CZ803" s="321"/>
      <c r="DA803" s="321"/>
      <c r="DB803" s="321"/>
      <c r="DC803" s="321"/>
      <c r="DD803" s="321"/>
      <c r="DE803" s="321"/>
      <c r="DF803" s="321"/>
      <c r="DG803" s="321"/>
      <c r="DH803" s="321"/>
      <c r="DI803" s="321"/>
      <c r="DJ803" s="321"/>
      <c r="DK803" s="321"/>
      <c r="DL803" s="321"/>
      <c r="DM803" s="321"/>
      <c r="DN803" s="321"/>
      <c r="DO803" s="321"/>
      <c r="DP803" s="321"/>
      <c r="DQ803" s="321"/>
      <c r="DR803" s="321"/>
      <c r="DS803" s="321"/>
      <c r="DT803" s="321"/>
      <c r="DU803" s="321"/>
      <c r="DV803" s="321"/>
      <c r="DW803" s="321"/>
      <c r="DX803" s="321"/>
      <c r="DY803" s="321"/>
      <c r="DZ803" s="321"/>
      <c r="EA803" s="321"/>
      <c r="EB803" s="321"/>
      <c r="EC803" s="321"/>
      <c r="ED803" s="321"/>
      <c r="EE803" s="321"/>
      <c r="EF803" s="321"/>
      <c r="EG803" s="321"/>
      <c r="EH803" s="321"/>
      <c r="EI803" s="321"/>
      <c r="EJ803" s="321"/>
      <c r="EK803" s="321"/>
      <c r="EL803" s="321"/>
      <c r="EM803" s="321"/>
      <c r="EN803" s="321"/>
      <c r="EO803" s="321"/>
      <c r="EP803" s="321"/>
      <c r="EQ803" s="321"/>
      <c r="ER803" s="321"/>
      <c r="ES803" s="321"/>
      <c r="ET803" s="321"/>
      <c r="EU803" s="321"/>
      <c r="EV803" s="321"/>
      <c r="EW803" s="321"/>
      <c r="EX803" s="321"/>
      <c r="EY803" s="321"/>
      <c r="EZ803" s="321"/>
      <c r="FA803" s="321"/>
      <c r="FB803" s="321"/>
      <c r="FC803" s="321"/>
      <c r="FD803" s="321"/>
      <c r="FE803" s="321"/>
      <c r="FF803" s="321"/>
      <c r="FG803" s="321"/>
      <c r="FH803" s="321"/>
      <c r="FI803" s="321"/>
      <c r="FJ803" s="321"/>
      <c r="FK803" s="321"/>
      <c r="FL803" s="321"/>
      <c r="FM803" s="321"/>
      <c r="FN803" s="321"/>
      <c r="FO803" s="321"/>
      <c r="FP803" s="321"/>
      <c r="FQ803" s="321"/>
      <c r="FR803" s="321"/>
      <c r="FS803" s="321"/>
      <c r="FT803" s="321"/>
      <c r="FU803" s="321"/>
      <c r="FV803" s="321"/>
      <c r="FW803" s="321"/>
      <c r="FX803" s="321"/>
      <c r="FY803" s="321"/>
      <c r="FZ803" s="321"/>
      <c r="GA803" s="321"/>
      <c r="GB803" s="321"/>
      <c r="GC803" s="321"/>
      <c r="GD803" s="321"/>
      <c r="GE803" s="321"/>
      <c r="GF803" s="321"/>
      <c r="GG803" s="321"/>
      <c r="GH803" s="321"/>
      <c r="GI803" s="321"/>
      <c r="GJ803" s="321"/>
      <c r="GK803" s="321"/>
      <c r="GL803" s="321"/>
      <c r="GM803" s="321"/>
      <c r="GN803" s="321"/>
      <c r="GO803" s="321"/>
      <c r="GP803" s="321"/>
      <c r="GQ803" s="321"/>
      <c r="GR803" s="321"/>
      <c r="GS803" s="321"/>
      <c r="GT803" s="321"/>
      <c r="GU803" s="321"/>
      <c r="GV803" s="321"/>
      <c r="GW803" s="321"/>
      <c r="GX803" s="321"/>
      <c r="GY803" s="321"/>
      <c r="GZ803" s="321"/>
      <c r="HA803" s="321"/>
      <c r="HB803" s="321"/>
      <c r="HC803" s="321"/>
      <c r="HD803" s="321"/>
      <c r="HE803" s="321"/>
      <c r="HF803" s="321"/>
      <c r="HG803" s="321"/>
      <c r="HH803" s="321"/>
      <c r="HI803" s="321"/>
      <c r="HJ803" s="321"/>
      <c r="HK803" s="321"/>
      <c r="HL803" s="321"/>
      <c r="HM803" s="321"/>
      <c r="HN803" s="321"/>
      <c r="HO803" s="321"/>
      <c r="HP803" s="321"/>
      <c r="HQ803" s="321"/>
      <c r="HR803" s="321"/>
      <c r="HS803" s="321"/>
      <c r="HT803" s="321"/>
      <c r="HU803" s="321"/>
      <c r="HV803" s="321"/>
      <c r="HW803" s="321"/>
      <c r="HX803" s="321"/>
      <c r="HY803" s="321"/>
      <c r="HZ803" s="321"/>
      <c r="IA803" s="321"/>
      <c r="IB803" s="321"/>
      <c r="IC803" s="321"/>
      <c r="ID803" s="321"/>
      <c r="IE803" s="321"/>
      <c r="IF803" s="321"/>
      <c r="IG803" s="321"/>
      <c r="IH803" s="321"/>
      <c r="II803" s="321"/>
      <c r="IJ803" s="321"/>
      <c r="IK803" s="321"/>
      <c r="IL803" s="321"/>
      <c r="IM803" s="321"/>
      <c r="IN803" s="321"/>
      <c r="IO803" s="321"/>
      <c r="IP803" s="321"/>
      <c r="IQ803" s="321"/>
      <c r="IR803" s="321"/>
      <c r="IS803" s="321"/>
      <c r="IT803" s="321"/>
      <c r="IU803" s="321"/>
      <c r="IV803" s="321"/>
      <c r="IW803" s="321"/>
      <c r="IX803" s="321"/>
      <c r="IY803" s="321"/>
      <c r="IZ803" s="321"/>
      <c r="JA803" s="321"/>
      <c r="JB803" s="321"/>
      <c r="JC803" s="321"/>
    </row>
    <row r="804" spans="1:263" ht="45" customHeight="1" x14ac:dyDescent="0.4">
      <c r="A804" s="323">
        <v>750426</v>
      </c>
      <c r="B804" s="324" t="s">
        <v>5036</v>
      </c>
      <c r="C804" s="325" t="s">
        <v>3272</v>
      </c>
      <c r="D804" s="326" t="s">
        <v>2045</v>
      </c>
      <c r="E804" s="327" t="s">
        <v>1724</v>
      </c>
      <c r="F804" s="327"/>
      <c r="G804" s="327" t="s">
        <v>1725</v>
      </c>
      <c r="H804" s="325" t="s">
        <v>2986</v>
      </c>
      <c r="I804" s="325" t="s">
        <v>3069</v>
      </c>
      <c r="J804" s="328">
        <v>75</v>
      </c>
      <c r="K804" s="329">
        <v>7513</v>
      </c>
      <c r="L804" s="325" t="s">
        <v>3273</v>
      </c>
      <c r="M804" s="326" t="s">
        <v>2076</v>
      </c>
      <c r="N804" s="326"/>
      <c r="O804" s="330">
        <v>2927088.45</v>
      </c>
      <c r="P804" s="330">
        <v>91482.39</v>
      </c>
      <c r="Q804" s="331">
        <v>7513</v>
      </c>
      <c r="R804" s="330">
        <v>1</v>
      </c>
      <c r="S804" s="330">
        <v>1</v>
      </c>
      <c r="T804" s="326" t="s">
        <v>170</v>
      </c>
      <c r="U804" s="326" t="s">
        <v>2040</v>
      </c>
      <c r="V804" s="332">
        <v>75041</v>
      </c>
      <c r="W804" s="333">
        <v>75040</v>
      </c>
    </row>
    <row r="805" spans="1:263" ht="45" customHeight="1" x14ac:dyDescent="0.4">
      <c r="A805" s="323">
        <v>750427</v>
      </c>
      <c r="B805" s="324" t="s">
        <v>5037</v>
      </c>
      <c r="C805" s="325" t="s">
        <v>3274</v>
      </c>
      <c r="D805" s="326" t="s">
        <v>2045</v>
      </c>
      <c r="E805" s="327" t="s">
        <v>1726</v>
      </c>
      <c r="F805" s="327"/>
      <c r="G805" s="327" t="s">
        <v>1727</v>
      </c>
      <c r="H805" s="325" t="s">
        <v>2986</v>
      </c>
      <c r="I805" s="325" t="s">
        <v>3069</v>
      </c>
      <c r="J805" s="328">
        <v>75</v>
      </c>
      <c r="K805" s="329">
        <v>7513</v>
      </c>
      <c r="L805" s="325" t="s">
        <v>3273</v>
      </c>
      <c r="M805" s="326" t="s">
        <v>2076</v>
      </c>
      <c r="N805" s="326"/>
      <c r="O805" s="330">
        <v>2927088.45</v>
      </c>
      <c r="P805" s="330">
        <v>91482.39</v>
      </c>
      <c r="Q805" s="331">
        <v>7513</v>
      </c>
      <c r="R805" s="330">
        <v>1</v>
      </c>
      <c r="S805" s="330">
        <v>1</v>
      </c>
      <c r="T805" s="326" t="s">
        <v>170</v>
      </c>
      <c r="U805" s="326" t="s">
        <v>2040</v>
      </c>
      <c r="V805" s="332">
        <v>75040</v>
      </c>
      <c r="W805" s="333">
        <v>75040</v>
      </c>
    </row>
    <row r="806" spans="1:263" ht="45" customHeight="1" x14ac:dyDescent="0.4">
      <c r="A806" s="323">
        <v>750429</v>
      </c>
      <c r="B806" s="324" t="s">
        <v>3275</v>
      </c>
      <c r="C806" s="325" t="s">
        <v>1728</v>
      </c>
      <c r="D806" s="326" t="s">
        <v>2045</v>
      </c>
      <c r="E806" s="327" t="s">
        <v>1729</v>
      </c>
      <c r="F806" s="327"/>
      <c r="G806" s="327" t="s">
        <v>1730</v>
      </c>
      <c r="H806" s="325" t="s">
        <v>2986</v>
      </c>
      <c r="I806" s="325" t="s">
        <v>3069</v>
      </c>
      <c r="J806" s="328">
        <v>75</v>
      </c>
      <c r="K806" s="329">
        <v>7514</v>
      </c>
      <c r="L806" s="325" t="s">
        <v>3275</v>
      </c>
      <c r="M806" s="326" t="s">
        <v>2076</v>
      </c>
      <c r="N806" s="326"/>
      <c r="O806" s="330">
        <v>272539.62</v>
      </c>
      <c r="P806" s="330">
        <v>9470.0400000000009</v>
      </c>
      <c r="Q806" s="331">
        <v>7514</v>
      </c>
      <c r="R806" s="330">
        <v>1</v>
      </c>
      <c r="S806" s="330">
        <v>1</v>
      </c>
      <c r="T806" s="326" t="s">
        <v>170</v>
      </c>
      <c r="U806" s="326" t="s">
        <v>2040</v>
      </c>
      <c r="V806" s="332">
        <v>75042</v>
      </c>
      <c r="W806" s="333">
        <v>75056</v>
      </c>
      <c r="X806" s="338"/>
      <c r="Y806" s="338"/>
      <c r="Z806" s="338"/>
      <c r="AA806" s="338"/>
      <c r="AB806" s="338"/>
      <c r="AC806" s="338"/>
      <c r="AD806" s="338"/>
      <c r="AE806" s="338"/>
      <c r="AF806" s="338"/>
      <c r="AG806" s="338"/>
      <c r="AH806" s="338"/>
      <c r="AI806" s="338"/>
      <c r="AJ806" s="338"/>
      <c r="AK806" s="338"/>
      <c r="AL806" s="338"/>
      <c r="AM806" s="338"/>
      <c r="AN806" s="338"/>
      <c r="AO806" s="338"/>
      <c r="AP806" s="338"/>
      <c r="AQ806" s="338"/>
      <c r="AR806" s="338"/>
      <c r="AS806" s="338"/>
      <c r="AT806" s="338"/>
      <c r="AU806" s="338"/>
      <c r="AV806" s="338"/>
      <c r="AW806" s="338"/>
      <c r="AX806" s="338"/>
      <c r="AY806" s="338"/>
      <c r="AZ806" s="338"/>
      <c r="BA806" s="338"/>
      <c r="BB806" s="338"/>
      <c r="BC806" s="338"/>
      <c r="BD806" s="338"/>
      <c r="BE806" s="338"/>
      <c r="BF806" s="338"/>
      <c r="BG806" s="338"/>
      <c r="BH806" s="338"/>
      <c r="BI806" s="338"/>
      <c r="BJ806" s="338"/>
      <c r="BK806" s="338"/>
      <c r="BL806" s="338"/>
      <c r="BM806" s="338"/>
      <c r="BN806" s="338"/>
      <c r="BO806" s="338"/>
      <c r="BP806" s="338"/>
      <c r="BQ806" s="338"/>
      <c r="BR806" s="338"/>
      <c r="BS806" s="338"/>
      <c r="BT806" s="338"/>
      <c r="BU806" s="338"/>
      <c r="BV806" s="338"/>
      <c r="BW806" s="338"/>
      <c r="BX806" s="338"/>
      <c r="BY806" s="338"/>
      <c r="BZ806" s="338"/>
      <c r="CA806" s="338"/>
      <c r="CB806" s="338"/>
      <c r="CC806" s="338"/>
      <c r="CD806" s="338"/>
      <c r="CE806" s="338"/>
      <c r="CF806" s="338"/>
      <c r="CG806" s="338"/>
      <c r="CH806" s="338"/>
      <c r="CI806" s="338"/>
      <c r="CJ806" s="338"/>
      <c r="CK806" s="338"/>
      <c r="CL806" s="338"/>
      <c r="CM806" s="338"/>
      <c r="CN806" s="338"/>
      <c r="CO806" s="338"/>
      <c r="CP806" s="338"/>
      <c r="CQ806" s="338"/>
      <c r="CR806" s="338"/>
      <c r="CS806" s="338"/>
      <c r="CT806" s="338"/>
      <c r="CU806" s="338"/>
      <c r="CV806" s="338"/>
      <c r="CW806" s="338"/>
      <c r="CX806" s="338"/>
      <c r="CY806" s="338"/>
      <c r="CZ806" s="338"/>
      <c r="DA806" s="338"/>
      <c r="DB806" s="338"/>
      <c r="DC806" s="338"/>
      <c r="DD806" s="338"/>
      <c r="DE806" s="338"/>
      <c r="DF806" s="338"/>
      <c r="DG806" s="338"/>
      <c r="DH806" s="338"/>
      <c r="DI806" s="338"/>
      <c r="DJ806" s="338"/>
      <c r="DK806" s="338"/>
      <c r="DL806" s="338"/>
      <c r="DM806" s="338"/>
      <c r="DN806" s="338"/>
      <c r="DO806" s="338"/>
      <c r="DP806" s="338"/>
      <c r="DQ806" s="338"/>
      <c r="DR806" s="338"/>
      <c r="DS806" s="338"/>
      <c r="DT806" s="338"/>
      <c r="DU806" s="338"/>
      <c r="DV806" s="338"/>
      <c r="DW806" s="338"/>
      <c r="DX806" s="338"/>
      <c r="DY806" s="338"/>
      <c r="DZ806" s="338"/>
      <c r="EA806" s="338"/>
      <c r="EB806" s="338"/>
      <c r="EC806" s="338"/>
      <c r="ED806" s="338"/>
      <c r="EE806" s="338"/>
      <c r="EF806" s="338"/>
      <c r="EG806" s="338"/>
      <c r="EH806" s="338"/>
      <c r="EI806" s="338"/>
      <c r="EJ806" s="338"/>
      <c r="EK806" s="338"/>
      <c r="EL806" s="338"/>
      <c r="EM806" s="338"/>
      <c r="EN806" s="338"/>
      <c r="EO806" s="338"/>
      <c r="EP806" s="338"/>
      <c r="EQ806" s="338"/>
      <c r="ER806" s="338"/>
      <c r="ES806" s="338"/>
      <c r="ET806" s="338"/>
      <c r="EU806" s="338"/>
      <c r="EV806" s="338"/>
      <c r="EW806" s="338"/>
      <c r="EX806" s="338"/>
      <c r="EY806" s="338"/>
      <c r="EZ806" s="338"/>
      <c r="FA806" s="338"/>
      <c r="FB806" s="338"/>
      <c r="FC806" s="338"/>
      <c r="FD806" s="338"/>
      <c r="FE806" s="338"/>
      <c r="FF806" s="338"/>
      <c r="FG806" s="338"/>
      <c r="FH806" s="338"/>
      <c r="FI806" s="338"/>
      <c r="FJ806" s="338"/>
      <c r="FK806" s="338"/>
      <c r="FL806" s="338"/>
      <c r="FM806" s="338"/>
      <c r="FN806" s="338"/>
      <c r="FO806" s="338"/>
      <c r="FP806" s="338"/>
      <c r="FQ806" s="338"/>
      <c r="FR806" s="338"/>
      <c r="FS806" s="338"/>
      <c r="FT806" s="338"/>
      <c r="FU806" s="338"/>
      <c r="FV806" s="338"/>
      <c r="FW806" s="338"/>
      <c r="FX806" s="338"/>
      <c r="FY806" s="338"/>
      <c r="FZ806" s="338"/>
      <c r="GA806" s="338"/>
      <c r="GB806" s="338"/>
      <c r="GC806" s="338"/>
      <c r="GD806" s="338"/>
      <c r="GE806" s="338"/>
      <c r="GF806" s="338"/>
      <c r="GG806" s="338"/>
      <c r="GH806" s="338"/>
      <c r="GI806" s="338"/>
      <c r="GJ806" s="338"/>
      <c r="GK806" s="338"/>
      <c r="GL806" s="338"/>
      <c r="GM806" s="338"/>
      <c r="GN806" s="338"/>
      <c r="GO806" s="338"/>
      <c r="GP806" s="338"/>
      <c r="GQ806" s="338"/>
      <c r="GR806" s="338"/>
      <c r="GS806" s="338"/>
      <c r="GT806" s="338"/>
      <c r="GU806" s="338"/>
      <c r="GV806" s="338"/>
      <c r="GW806" s="338"/>
      <c r="GX806" s="338"/>
      <c r="GY806" s="338"/>
      <c r="GZ806" s="338"/>
      <c r="HA806" s="338"/>
      <c r="HB806" s="338"/>
      <c r="HC806" s="338"/>
      <c r="HD806" s="338"/>
      <c r="HE806" s="338"/>
      <c r="HF806" s="338"/>
      <c r="HG806" s="338"/>
      <c r="HH806" s="338"/>
      <c r="HI806" s="338"/>
      <c r="HJ806" s="338"/>
      <c r="HK806" s="338"/>
      <c r="HL806" s="338"/>
      <c r="HM806" s="338"/>
      <c r="HN806" s="338"/>
      <c r="HO806" s="338"/>
      <c r="HP806" s="338"/>
      <c r="HQ806" s="338"/>
      <c r="HR806" s="338"/>
      <c r="HS806" s="338"/>
      <c r="HT806" s="338"/>
      <c r="HU806" s="338"/>
      <c r="HV806" s="338"/>
      <c r="HW806" s="338"/>
      <c r="HX806" s="338"/>
      <c r="HY806" s="338"/>
      <c r="HZ806" s="338"/>
      <c r="IA806" s="338"/>
      <c r="IB806" s="338"/>
      <c r="IC806" s="338"/>
      <c r="ID806" s="338"/>
      <c r="IE806" s="338"/>
      <c r="IF806" s="338"/>
      <c r="IG806" s="338"/>
      <c r="IH806" s="338"/>
      <c r="II806" s="338"/>
      <c r="IJ806" s="338"/>
      <c r="IK806" s="338"/>
      <c r="IL806" s="338"/>
      <c r="IM806" s="338"/>
      <c r="IN806" s="338"/>
      <c r="IO806" s="338"/>
      <c r="IP806" s="338"/>
      <c r="IQ806" s="338"/>
      <c r="IR806" s="338"/>
      <c r="IS806" s="338"/>
      <c r="IT806" s="338"/>
      <c r="IU806" s="338"/>
      <c r="IV806" s="338"/>
      <c r="IW806" s="338"/>
      <c r="IX806" s="338"/>
      <c r="IY806" s="338"/>
      <c r="IZ806" s="338"/>
      <c r="JA806" s="338"/>
      <c r="JB806" s="338"/>
      <c r="JC806" s="338"/>
    </row>
    <row r="807" spans="1:263" ht="45" customHeight="1" x14ac:dyDescent="0.4">
      <c r="A807" s="323">
        <v>750440</v>
      </c>
      <c r="B807" s="324" t="s">
        <v>5038</v>
      </c>
      <c r="C807" s="325" t="s">
        <v>3276</v>
      </c>
      <c r="D807" s="326" t="s">
        <v>2045</v>
      </c>
      <c r="E807" s="327" t="s">
        <v>1731</v>
      </c>
      <c r="F807" s="327"/>
      <c r="G807" s="327" t="s">
        <v>383</v>
      </c>
      <c r="H807" s="325" t="e">
        <v>#N/A</v>
      </c>
      <c r="I807" s="325" t="e">
        <v>#N/A</v>
      </c>
      <c r="J807" s="328">
        <v>75</v>
      </c>
      <c r="K807" s="329">
        <v>7515</v>
      </c>
      <c r="L807" s="325" t="s">
        <v>3277</v>
      </c>
      <c r="M807" s="326" t="s">
        <v>2076</v>
      </c>
      <c r="N807" s="326"/>
      <c r="O807" s="330">
        <v>71155.360000000001</v>
      </c>
      <c r="P807" s="330">
        <v>45741.19</v>
      </c>
      <c r="Q807" s="331">
        <v>7515</v>
      </c>
      <c r="R807" s="330">
        <v>1</v>
      </c>
      <c r="S807" s="330">
        <v>1</v>
      </c>
      <c r="T807" s="326" t="s">
        <v>170</v>
      </c>
      <c r="U807" s="326" t="s">
        <v>2040</v>
      </c>
      <c r="V807" s="332" t="s">
        <v>3278</v>
      </c>
      <c r="W807" s="333" t="s">
        <v>228</v>
      </c>
    </row>
    <row r="808" spans="1:263" ht="45" customHeight="1" x14ac:dyDescent="0.4">
      <c r="A808" s="323">
        <v>750570</v>
      </c>
      <c r="B808" s="324" t="s">
        <v>5039</v>
      </c>
      <c r="C808" s="325" t="s">
        <v>3279</v>
      </c>
      <c r="D808" s="326" t="s">
        <v>2045</v>
      </c>
      <c r="E808" s="327" t="s">
        <v>1732</v>
      </c>
      <c r="F808" s="327"/>
      <c r="G808" s="327" t="s">
        <v>383</v>
      </c>
      <c r="H808" s="325" t="e">
        <v>#N/A</v>
      </c>
      <c r="I808" s="325" t="e">
        <v>#N/A</v>
      </c>
      <c r="J808" s="328">
        <v>75</v>
      </c>
      <c r="K808" s="329">
        <v>7516</v>
      </c>
      <c r="L808" s="325" t="s">
        <v>3280</v>
      </c>
      <c r="M808" s="326" t="s">
        <v>2076</v>
      </c>
      <c r="N808" s="326"/>
      <c r="O808" s="330">
        <v>27093.67</v>
      </c>
      <c r="P808" s="330">
        <v>1394.64</v>
      </c>
      <c r="Q808" s="331">
        <v>7516</v>
      </c>
      <c r="R808" s="330">
        <v>1</v>
      </c>
      <c r="S808" s="330">
        <v>1</v>
      </c>
      <c r="T808" s="326" t="s">
        <v>170</v>
      </c>
      <c r="U808" s="326" t="s">
        <v>2040</v>
      </c>
      <c r="V808" s="332"/>
      <c r="W808" s="333">
        <v>75057</v>
      </c>
    </row>
    <row r="809" spans="1:263" ht="45" customHeight="1" x14ac:dyDescent="0.4">
      <c r="A809" s="323">
        <v>750581</v>
      </c>
      <c r="B809" s="324" t="s">
        <v>5040</v>
      </c>
      <c r="C809" s="325" t="s">
        <v>5041</v>
      </c>
      <c r="D809" s="326" t="s">
        <v>2045</v>
      </c>
      <c r="E809" s="327" t="s">
        <v>5042</v>
      </c>
      <c r="F809" s="327" t="s">
        <v>3880</v>
      </c>
      <c r="G809" s="327" t="s">
        <v>1733</v>
      </c>
      <c r="H809" s="325" t="s">
        <v>2986</v>
      </c>
      <c r="I809" s="325" t="s">
        <v>3069</v>
      </c>
      <c r="J809" s="328">
        <v>75</v>
      </c>
      <c r="K809" s="329">
        <v>7542</v>
      </c>
      <c r="L809" s="325" t="s">
        <v>3281</v>
      </c>
      <c r="M809" s="326" t="s">
        <v>2076</v>
      </c>
      <c r="N809" s="326"/>
      <c r="O809" s="330">
        <v>176517.53</v>
      </c>
      <c r="P809" s="330">
        <v>3387.51</v>
      </c>
      <c r="Q809" s="331">
        <v>7542</v>
      </c>
      <c r="R809" s="330">
        <v>35</v>
      </c>
      <c r="S809" s="330">
        <v>1</v>
      </c>
      <c r="T809" s="326" t="s">
        <v>170</v>
      </c>
      <c r="U809" s="326" t="s">
        <v>2040</v>
      </c>
      <c r="V809" s="332" t="s">
        <v>3282</v>
      </c>
      <c r="W809" s="333" t="s">
        <v>3283</v>
      </c>
    </row>
    <row r="810" spans="1:263" ht="45" customHeight="1" x14ac:dyDescent="0.4">
      <c r="A810" s="323">
        <v>750582</v>
      </c>
      <c r="B810" s="324" t="s">
        <v>5043</v>
      </c>
      <c r="C810" s="325" t="s">
        <v>3284</v>
      </c>
      <c r="D810" s="326" t="s">
        <v>2045</v>
      </c>
      <c r="E810" s="327" t="s">
        <v>1734</v>
      </c>
      <c r="F810" s="327"/>
      <c r="G810" s="327" t="s">
        <v>1735</v>
      </c>
      <c r="H810" s="325" t="s">
        <v>2986</v>
      </c>
      <c r="I810" s="325" t="s">
        <v>3069</v>
      </c>
      <c r="J810" s="328">
        <v>75</v>
      </c>
      <c r="K810" s="329">
        <v>7542</v>
      </c>
      <c r="L810" s="325" t="s">
        <v>3281</v>
      </c>
      <c r="M810" s="326" t="s">
        <v>2076</v>
      </c>
      <c r="N810" s="326"/>
      <c r="O810" s="330">
        <v>176517.53</v>
      </c>
      <c r="P810" s="330">
        <v>3387.51</v>
      </c>
      <c r="Q810" s="331">
        <v>7542</v>
      </c>
      <c r="R810" s="330">
        <v>35</v>
      </c>
      <c r="S810" s="330">
        <v>1</v>
      </c>
      <c r="T810" s="326" t="s">
        <v>170</v>
      </c>
      <c r="U810" s="326" t="s">
        <v>2040</v>
      </c>
      <c r="V810" s="332" t="s">
        <v>228</v>
      </c>
      <c r="W810" s="333" t="s">
        <v>3283</v>
      </c>
    </row>
    <row r="811" spans="1:263" ht="45" customHeight="1" x14ac:dyDescent="0.4">
      <c r="A811" s="323">
        <v>750583</v>
      </c>
      <c r="B811" s="324" t="s">
        <v>5044</v>
      </c>
      <c r="C811" s="325" t="s">
        <v>1736</v>
      </c>
      <c r="D811" s="326" t="s">
        <v>2084</v>
      </c>
      <c r="E811" s="327" t="s">
        <v>5045</v>
      </c>
      <c r="F811" s="327"/>
      <c r="G811" s="327" t="s">
        <v>1737</v>
      </c>
      <c r="H811" s="325" t="s">
        <v>2986</v>
      </c>
      <c r="I811" s="325" t="s">
        <v>3069</v>
      </c>
      <c r="J811" s="328">
        <v>74</v>
      </c>
      <c r="K811" s="329">
        <v>7444</v>
      </c>
      <c r="L811" s="325" t="s">
        <v>3285</v>
      </c>
      <c r="M811" s="326" t="s">
        <v>226</v>
      </c>
      <c r="N811" s="326"/>
      <c r="O811" s="330">
        <v>49.53</v>
      </c>
      <c r="P811" s="330">
        <v>0.71</v>
      </c>
      <c r="Q811" s="331">
        <v>7444</v>
      </c>
      <c r="R811" s="330">
        <v>18000</v>
      </c>
      <c r="S811" s="330">
        <v>2600</v>
      </c>
      <c r="T811" s="326" t="s">
        <v>170</v>
      </c>
      <c r="U811" s="326" t="s">
        <v>2040</v>
      </c>
      <c r="V811" s="332">
        <v>74049</v>
      </c>
      <c r="W811" s="333">
        <v>74079</v>
      </c>
    </row>
    <row r="812" spans="1:263" ht="45" customHeight="1" x14ac:dyDescent="0.4">
      <c r="A812" s="323">
        <v>750600</v>
      </c>
      <c r="B812" s="324" t="s">
        <v>5046</v>
      </c>
      <c r="C812" s="325" t="s">
        <v>3286</v>
      </c>
      <c r="D812" s="326" t="s">
        <v>2045</v>
      </c>
      <c r="E812" s="327" t="s">
        <v>5047</v>
      </c>
      <c r="F812" s="327"/>
      <c r="G812" s="327" t="s">
        <v>383</v>
      </c>
      <c r="H812" s="325" t="e">
        <v>#N/A</v>
      </c>
      <c r="I812" s="325" t="e">
        <v>#N/A</v>
      </c>
      <c r="J812" s="328">
        <v>75</v>
      </c>
      <c r="K812" s="329">
        <v>7518</v>
      </c>
      <c r="L812" s="325" t="s">
        <v>3287</v>
      </c>
      <c r="M812" s="326" t="s">
        <v>2076</v>
      </c>
      <c r="N812" s="326"/>
      <c r="O812" s="330">
        <v>1266860.01</v>
      </c>
      <c r="P812" s="330">
        <v>11435.66</v>
      </c>
      <c r="Q812" s="331">
        <v>7518</v>
      </c>
      <c r="R812" s="330">
        <v>1</v>
      </c>
      <c r="S812" s="330">
        <v>1</v>
      </c>
      <c r="T812" s="326" t="s">
        <v>170</v>
      </c>
      <c r="U812" s="326" t="s">
        <v>2040</v>
      </c>
      <c r="V812" s="332"/>
      <c r="W812" s="333">
        <v>75060</v>
      </c>
    </row>
    <row r="813" spans="1:263" ht="45" customHeight="1" x14ac:dyDescent="0.4">
      <c r="A813" s="323">
        <v>750611</v>
      </c>
      <c r="B813" s="324" t="s">
        <v>5048</v>
      </c>
      <c r="C813" s="325" t="s">
        <v>3288</v>
      </c>
      <c r="D813" s="326" t="s">
        <v>2045</v>
      </c>
      <c r="E813" s="327" t="s">
        <v>1738</v>
      </c>
      <c r="F813" s="327" t="s">
        <v>5049</v>
      </c>
      <c r="G813" s="327" t="s">
        <v>1739</v>
      </c>
      <c r="H813" s="325" t="s">
        <v>2986</v>
      </c>
      <c r="I813" s="325" t="s">
        <v>3069</v>
      </c>
      <c r="J813" s="328">
        <v>75</v>
      </c>
      <c r="K813" s="329">
        <v>7541</v>
      </c>
      <c r="L813" s="325" t="s">
        <v>3289</v>
      </c>
      <c r="M813" s="326" t="s">
        <v>2076</v>
      </c>
      <c r="N813" s="326"/>
      <c r="O813" s="330">
        <v>499807.85</v>
      </c>
      <c r="P813" s="330">
        <v>22450.78</v>
      </c>
      <c r="Q813" s="331">
        <v>7541</v>
      </c>
      <c r="R813" s="330">
        <v>1</v>
      </c>
      <c r="S813" s="330">
        <v>1</v>
      </c>
      <c r="T813" s="326" t="s">
        <v>170</v>
      </c>
      <c r="U813" s="326" t="s">
        <v>2040</v>
      </c>
      <c r="V813" s="332">
        <v>75086</v>
      </c>
      <c r="W813" s="333" t="s">
        <v>3290</v>
      </c>
    </row>
    <row r="814" spans="1:263" ht="45" customHeight="1" x14ac:dyDescent="0.4">
      <c r="A814" s="323">
        <v>750612</v>
      </c>
      <c r="B814" s="324" t="s">
        <v>5050</v>
      </c>
      <c r="C814" s="325" t="s">
        <v>3291</v>
      </c>
      <c r="D814" s="326" t="s">
        <v>2084</v>
      </c>
      <c r="E814" s="327" t="s">
        <v>1740</v>
      </c>
      <c r="F814" s="327"/>
      <c r="G814" s="327" t="s">
        <v>1741</v>
      </c>
      <c r="H814" s="325" t="s">
        <v>2986</v>
      </c>
      <c r="I814" s="325" t="s">
        <v>3069</v>
      </c>
      <c r="J814" s="328">
        <v>73</v>
      </c>
      <c r="K814" s="329">
        <v>7385</v>
      </c>
      <c r="L814" s="325" t="s">
        <v>3169</v>
      </c>
      <c r="M814" s="326" t="s">
        <v>226</v>
      </c>
      <c r="N814" s="326"/>
      <c r="O814" s="330">
        <v>260.2</v>
      </c>
      <c r="P814" s="330">
        <v>7.21</v>
      </c>
      <c r="Q814" s="331">
        <v>7385</v>
      </c>
      <c r="R814" s="330">
        <v>11000</v>
      </c>
      <c r="S814" s="330">
        <v>540</v>
      </c>
      <c r="T814" s="326" t="s">
        <v>170</v>
      </c>
      <c r="U814" s="326" t="s">
        <v>2040</v>
      </c>
      <c r="V814" s="332" t="s">
        <v>228</v>
      </c>
      <c r="W814" s="333" t="s">
        <v>3170</v>
      </c>
    </row>
    <row r="815" spans="1:263" ht="45" customHeight="1" x14ac:dyDescent="0.4">
      <c r="A815" s="323">
        <v>750663</v>
      </c>
      <c r="B815" s="324" t="s">
        <v>5051</v>
      </c>
      <c r="C815" s="325" t="s">
        <v>3292</v>
      </c>
      <c r="D815" s="326" t="s">
        <v>2045</v>
      </c>
      <c r="E815" s="327" t="s">
        <v>1742</v>
      </c>
      <c r="F815" s="327"/>
      <c r="G815" s="327" t="s">
        <v>1743</v>
      </c>
      <c r="H815" s="325" t="s">
        <v>2986</v>
      </c>
      <c r="I815" s="325" t="s">
        <v>3069</v>
      </c>
      <c r="J815" s="328">
        <v>72</v>
      </c>
      <c r="K815" s="329">
        <v>7350</v>
      </c>
      <c r="L815" s="325" t="s">
        <v>3293</v>
      </c>
      <c r="M815" s="326" t="s">
        <v>226</v>
      </c>
      <c r="N815" s="326"/>
      <c r="O815" s="330">
        <v>114.82</v>
      </c>
      <c r="P815" s="330">
        <v>6.78</v>
      </c>
      <c r="Q815" s="331">
        <v>7350</v>
      </c>
      <c r="R815" s="330">
        <v>11000</v>
      </c>
      <c r="S815" s="330">
        <v>1400</v>
      </c>
      <c r="T815" s="326" t="s">
        <v>170</v>
      </c>
      <c r="U815" s="326" t="s">
        <v>2040</v>
      </c>
      <c r="V815" s="332" t="s">
        <v>228</v>
      </c>
      <c r="W815" s="333">
        <v>72350</v>
      </c>
    </row>
    <row r="816" spans="1:263" ht="45" customHeight="1" x14ac:dyDescent="0.4">
      <c r="A816" s="323">
        <v>750811</v>
      </c>
      <c r="B816" s="324" t="s">
        <v>5052</v>
      </c>
      <c r="C816" s="325" t="s">
        <v>3294</v>
      </c>
      <c r="D816" s="326" t="s">
        <v>2084</v>
      </c>
      <c r="E816" s="327" t="s">
        <v>1744</v>
      </c>
      <c r="F816" s="327"/>
      <c r="G816" s="327" t="s">
        <v>1745</v>
      </c>
      <c r="H816" s="325" t="s">
        <v>2986</v>
      </c>
      <c r="I816" s="325" t="s">
        <v>3236</v>
      </c>
      <c r="J816" s="328">
        <v>73</v>
      </c>
      <c r="K816" s="329">
        <v>7385</v>
      </c>
      <c r="L816" s="325" t="s">
        <v>3169</v>
      </c>
      <c r="M816" s="326" t="s">
        <v>226</v>
      </c>
      <c r="N816" s="326"/>
      <c r="O816" s="330">
        <v>260.2</v>
      </c>
      <c r="P816" s="330">
        <v>7.21</v>
      </c>
      <c r="Q816" s="331">
        <v>7385</v>
      </c>
      <c r="R816" s="330">
        <v>11000</v>
      </c>
      <c r="S816" s="330">
        <v>540</v>
      </c>
      <c r="T816" s="326" t="s">
        <v>170</v>
      </c>
      <c r="U816" s="326" t="s">
        <v>2040</v>
      </c>
      <c r="V816" s="332" t="s">
        <v>228</v>
      </c>
      <c r="W816" s="333">
        <v>74089</v>
      </c>
    </row>
    <row r="817" spans="1:263" ht="45" customHeight="1" x14ac:dyDescent="0.4">
      <c r="A817" s="323">
        <v>750812</v>
      </c>
      <c r="B817" s="324" t="s">
        <v>5053</v>
      </c>
      <c r="C817" s="325" t="s">
        <v>3881</v>
      </c>
      <c r="D817" s="326" t="s">
        <v>2045</v>
      </c>
      <c r="E817" s="327" t="s">
        <v>5054</v>
      </c>
      <c r="F817" s="327" t="s">
        <v>5055</v>
      </c>
      <c r="G817" s="327" t="s">
        <v>1746</v>
      </c>
      <c r="H817" s="325" t="s">
        <v>2986</v>
      </c>
      <c r="I817" s="325" t="s">
        <v>3236</v>
      </c>
      <c r="J817" s="328">
        <v>75</v>
      </c>
      <c r="K817" s="329">
        <v>7512</v>
      </c>
      <c r="L817" s="325" t="s">
        <v>3295</v>
      </c>
      <c r="M817" s="326" t="s">
        <v>2076</v>
      </c>
      <c r="N817" s="326"/>
      <c r="O817" s="330">
        <v>1473723.05</v>
      </c>
      <c r="P817" s="330">
        <v>16033.52</v>
      </c>
      <c r="Q817" s="331">
        <v>7512</v>
      </c>
      <c r="R817" s="330">
        <v>1</v>
      </c>
      <c r="S817" s="330">
        <v>1</v>
      </c>
      <c r="T817" s="326" t="s">
        <v>170</v>
      </c>
      <c r="U817" s="326" t="s">
        <v>2040</v>
      </c>
      <c r="V817" s="332" t="s">
        <v>3296</v>
      </c>
      <c r="W817" s="333" t="s">
        <v>3297</v>
      </c>
    </row>
    <row r="818" spans="1:263" ht="45" customHeight="1" x14ac:dyDescent="0.4">
      <c r="A818" s="323">
        <v>750819</v>
      </c>
      <c r="B818" s="324" t="s">
        <v>5056</v>
      </c>
      <c r="C818" s="325" t="s">
        <v>3298</v>
      </c>
      <c r="D818" s="326" t="s">
        <v>2084</v>
      </c>
      <c r="E818" s="327" t="s">
        <v>1747</v>
      </c>
      <c r="F818" s="327"/>
      <c r="G818" s="327" t="s">
        <v>1748</v>
      </c>
      <c r="H818" s="325" t="s">
        <v>2986</v>
      </c>
      <c r="I818" s="325" t="s">
        <v>3236</v>
      </c>
      <c r="J818" s="328">
        <v>74</v>
      </c>
      <c r="K818" s="329">
        <v>7448</v>
      </c>
      <c r="L818" s="325" t="s">
        <v>3299</v>
      </c>
      <c r="M818" s="326" t="s">
        <v>226</v>
      </c>
      <c r="N818" s="326"/>
      <c r="O818" s="330">
        <v>110.76</v>
      </c>
      <c r="P818" s="330">
        <v>2.69</v>
      </c>
      <c r="Q818" s="331">
        <v>7448</v>
      </c>
      <c r="R818" s="330">
        <v>20000</v>
      </c>
      <c r="S818" s="330">
        <v>1200</v>
      </c>
      <c r="T818" s="326" t="s">
        <v>170</v>
      </c>
      <c r="U818" s="326" t="s">
        <v>2040</v>
      </c>
      <c r="V818" s="332">
        <v>74089</v>
      </c>
      <c r="W818" s="333">
        <v>74090</v>
      </c>
    </row>
    <row r="819" spans="1:263" ht="45" customHeight="1" x14ac:dyDescent="0.4">
      <c r="A819" s="323">
        <v>750835</v>
      </c>
      <c r="B819" s="324" t="s">
        <v>5057</v>
      </c>
      <c r="C819" s="325" t="s">
        <v>3300</v>
      </c>
      <c r="D819" s="326" t="s">
        <v>2045</v>
      </c>
      <c r="E819" s="327" t="s">
        <v>1749</v>
      </c>
      <c r="F819" s="327"/>
      <c r="G819" s="327" t="s">
        <v>1750</v>
      </c>
      <c r="H819" s="325" t="s">
        <v>2986</v>
      </c>
      <c r="I819" s="325" t="s">
        <v>3069</v>
      </c>
      <c r="J819" s="328">
        <v>75</v>
      </c>
      <c r="K819" s="329">
        <v>7532</v>
      </c>
      <c r="L819" s="325" t="s">
        <v>3301</v>
      </c>
      <c r="M819" s="326" t="s">
        <v>2076</v>
      </c>
      <c r="N819" s="326"/>
      <c r="O819" s="330">
        <v>201883.45</v>
      </c>
      <c r="P819" s="330">
        <v>7311.57</v>
      </c>
      <c r="Q819" s="331">
        <v>7532</v>
      </c>
      <c r="R819" s="330">
        <v>1</v>
      </c>
      <c r="S819" s="330">
        <v>1</v>
      </c>
      <c r="T819" s="326" t="s">
        <v>170</v>
      </c>
      <c r="U819" s="326" t="s">
        <v>2040</v>
      </c>
      <c r="V819" s="332">
        <v>75050</v>
      </c>
      <c r="W819" s="333">
        <v>75050</v>
      </c>
    </row>
    <row r="820" spans="1:263" ht="45" customHeight="1" x14ac:dyDescent="0.4">
      <c r="A820" s="323">
        <v>751121</v>
      </c>
      <c r="B820" s="324" t="s">
        <v>5058</v>
      </c>
      <c r="C820" s="325" t="s">
        <v>3302</v>
      </c>
      <c r="D820" s="326" t="s">
        <v>2045</v>
      </c>
      <c r="E820" s="327" t="s">
        <v>1751</v>
      </c>
      <c r="F820" s="327" t="s">
        <v>5059</v>
      </c>
      <c r="G820" s="327" t="s">
        <v>383</v>
      </c>
      <c r="H820" s="325" t="e">
        <v>#N/A</v>
      </c>
      <c r="I820" s="325" t="e">
        <v>#N/A</v>
      </c>
      <c r="J820" s="328">
        <v>75</v>
      </c>
      <c r="K820" s="329">
        <v>7511</v>
      </c>
      <c r="L820" s="325" t="s">
        <v>3303</v>
      </c>
      <c r="M820" s="326" t="s">
        <v>2076</v>
      </c>
      <c r="N820" s="326"/>
      <c r="O820" s="330">
        <v>807145.52</v>
      </c>
      <c r="P820" s="330">
        <v>4000.85</v>
      </c>
      <c r="Q820" s="331">
        <v>7511</v>
      </c>
      <c r="R820" s="330">
        <v>50</v>
      </c>
      <c r="S820" s="330">
        <v>1</v>
      </c>
      <c r="T820" s="326" t="s">
        <v>170</v>
      </c>
      <c r="U820" s="326" t="s">
        <v>2040</v>
      </c>
      <c r="V820" s="332">
        <v>75018</v>
      </c>
      <c r="W820" s="333">
        <v>75110</v>
      </c>
    </row>
    <row r="821" spans="1:263" ht="45" customHeight="1" x14ac:dyDescent="0.4">
      <c r="A821" s="323">
        <v>751721</v>
      </c>
      <c r="B821" s="324" t="s">
        <v>5060</v>
      </c>
      <c r="C821" s="325" t="s">
        <v>3304</v>
      </c>
      <c r="D821" s="326" t="s">
        <v>2045</v>
      </c>
      <c r="E821" s="327" t="s">
        <v>1752</v>
      </c>
      <c r="F821" s="327"/>
      <c r="G821" s="327" t="s">
        <v>383</v>
      </c>
      <c r="H821" s="325" t="e">
        <v>#N/A</v>
      </c>
      <c r="I821" s="325" t="e">
        <v>#N/A</v>
      </c>
      <c r="J821" s="328">
        <v>75</v>
      </c>
      <c r="K821" s="329">
        <v>7517</v>
      </c>
      <c r="L821" s="325" t="s">
        <v>3305</v>
      </c>
      <c r="M821" s="326" t="s">
        <v>2076</v>
      </c>
      <c r="N821" s="326"/>
      <c r="O821" s="330">
        <v>12056.66</v>
      </c>
      <c r="P821" s="330">
        <v>701.68</v>
      </c>
      <c r="Q821" s="331">
        <v>7517</v>
      </c>
      <c r="R821" s="330">
        <v>1</v>
      </c>
      <c r="S821" s="330">
        <v>1</v>
      </c>
      <c r="T821" s="326" t="s">
        <v>170</v>
      </c>
      <c r="U821" s="326" t="s">
        <v>2040</v>
      </c>
      <c r="V821" s="332">
        <v>75070</v>
      </c>
      <c r="W821" s="333">
        <v>75061</v>
      </c>
      <c r="X821" s="338"/>
      <c r="Y821" s="338"/>
      <c r="Z821" s="338"/>
      <c r="AA821" s="338"/>
      <c r="AB821" s="338"/>
      <c r="AC821" s="338"/>
      <c r="AD821" s="338"/>
      <c r="AE821" s="338"/>
      <c r="AF821" s="338"/>
      <c r="AG821" s="338"/>
      <c r="AH821" s="338"/>
      <c r="AI821" s="338"/>
      <c r="AJ821" s="338"/>
      <c r="AK821" s="338"/>
      <c r="AL821" s="338"/>
      <c r="AM821" s="338"/>
      <c r="AN821" s="338"/>
      <c r="AO821" s="338"/>
      <c r="AP821" s="338"/>
      <c r="AQ821" s="338"/>
      <c r="AR821" s="338"/>
      <c r="AS821" s="338"/>
      <c r="AT821" s="338"/>
      <c r="AU821" s="338"/>
      <c r="AV821" s="338"/>
      <c r="AW821" s="338"/>
      <c r="AX821" s="338"/>
      <c r="AY821" s="338"/>
      <c r="AZ821" s="338"/>
      <c r="BA821" s="338"/>
      <c r="BB821" s="338"/>
      <c r="BC821" s="338"/>
      <c r="BD821" s="338"/>
      <c r="BE821" s="338"/>
      <c r="BF821" s="338"/>
      <c r="BG821" s="338"/>
      <c r="BH821" s="338"/>
      <c r="BI821" s="338"/>
      <c r="BJ821" s="338"/>
      <c r="BK821" s="338"/>
      <c r="BL821" s="338"/>
      <c r="BM821" s="338"/>
      <c r="BN821" s="338"/>
      <c r="BO821" s="338"/>
      <c r="BP821" s="338"/>
      <c r="BQ821" s="338"/>
      <c r="BR821" s="338"/>
      <c r="BS821" s="338"/>
      <c r="BT821" s="338"/>
      <c r="BU821" s="338"/>
      <c r="BV821" s="338"/>
      <c r="BW821" s="338"/>
      <c r="BX821" s="338"/>
      <c r="BY821" s="338"/>
      <c r="BZ821" s="338"/>
      <c r="CA821" s="338"/>
      <c r="CB821" s="338"/>
      <c r="CC821" s="338"/>
      <c r="CD821" s="338"/>
      <c r="CE821" s="338"/>
      <c r="CF821" s="338"/>
      <c r="CG821" s="338"/>
      <c r="CH821" s="338"/>
      <c r="CI821" s="338"/>
      <c r="CJ821" s="338"/>
      <c r="CK821" s="338"/>
      <c r="CL821" s="338"/>
      <c r="CM821" s="338"/>
      <c r="CN821" s="338"/>
      <c r="CO821" s="338"/>
      <c r="CP821" s="338"/>
      <c r="CQ821" s="338"/>
      <c r="CR821" s="338"/>
      <c r="CS821" s="338"/>
      <c r="CT821" s="338"/>
      <c r="CU821" s="338"/>
      <c r="CV821" s="338"/>
      <c r="CW821" s="338"/>
      <c r="CX821" s="338"/>
      <c r="CY821" s="338"/>
      <c r="CZ821" s="338"/>
      <c r="DA821" s="338"/>
      <c r="DB821" s="338"/>
      <c r="DC821" s="338"/>
      <c r="DD821" s="338"/>
      <c r="DE821" s="338"/>
      <c r="DF821" s="338"/>
      <c r="DG821" s="338"/>
      <c r="DH821" s="338"/>
      <c r="DI821" s="338"/>
      <c r="DJ821" s="338"/>
      <c r="DK821" s="338"/>
      <c r="DL821" s="338"/>
      <c r="DM821" s="338"/>
      <c r="DN821" s="338"/>
      <c r="DO821" s="338"/>
      <c r="DP821" s="338"/>
      <c r="DQ821" s="338"/>
      <c r="DR821" s="338"/>
      <c r="DS821" s="338"/>
      <c r="DT821" s="338"/>
      <c r="DU821" s="338"/>
      <c r="DV821" s="338"/>
      <c r="DW821" s="338"/>
      <c r="DX821" s="338"/>
      <c r="DY821" s="338"/>
      <c r="DZ821" s="338"/>
      <c r="EA821" s="338"/>
      <c r="EB821" s="338"/>
      <c r="EC821" s="338"/>
      <c r="ED821" s="338"/>
      <c r="EE821" s="338"/>
      <c r="EF821" s="338"/>
      <c r="EG821" s="338"/>
      <c r="EH821" s="338"/>
      <c r="EI821" s="338"/>
      <c r="EJ821" s="338"/>
      <c r="EK821" s="338"/>
      <c r="EL821" s="338"/>
      <c r="EM821" s="338"/>
      <c r="EN821" s="338"/>
      <c r="EO821" s="338"/>
      <c r="EP821" s="338"/>
      <c r="EQ821" s="338"/>
      <c r="ER821" s="338"/>
      <c r="ES821" s="338"/>
      <c r="ET821" s="338"/>
      <c r="EU821" s="338"/>
      <c r="EV821" s="338"/>
      <c r="EW821" s="338"/>
      <c r="EX821" s="338"/>
      <c r="EY821" s="338"/>
      <c r="EZ821" s="338"/>
      <c r="FA821" s="338"/>
      <c r="FB821" s="338"/>
      <c r="FC821" s="338"/>
      <c r="FD821" s="338"/>
      <c r="FE821" s="338"/>
      <c r="FF821" s="338"/>
      <c r="FG821" s="338"/>
      <c r="FH821" s="338"/>
      <c r="FI821" s="338"/>
      <c r="FJ821" s="338"/>
      <c r="FK821" s="338"/>
      <c r="FL821" s="338"/>
      <c r="FM821" s="338"/>
      <c r="FN821" s="338"/>
      <c r="FO821" s="338"/>
      <c r="FP821" s="338"/>
      <c r="FQ821" s="338"/>
      <c r="FR821" s="338"/>
      <c r="FS821" s="338"/>
      <c r="FT821" s="338"/>
      <c r="FU821" s="338"/>
      <c r="FV821" s="338"/>
      <c r="FW821" s="338"/>
      <c r="FX821" s="338"/>
      <c r="FY821" s="338"/>
      <c r="FZ821" s="338"/>
      <c r="GA821" s="338"/>
      <c r="GB821" s="338"/>
      <c r="GC821" s="338"/>
      <c r="GD821" s="338"/>
      <c r="GE821" s="338"/>
      <c r="GF821" s="338"/>
      <c r="GG821" s="338"/>
      <c r="GH821" s="338"/>
      <c r="GI821" s="338"/>
      <c r="GJ821" s="338"/>
      <c r="GK821" s="338"/>
      <c r="GL821" s="338"/>
      <c r="GM821" s="338"/>
      <c r="GN821" s="338"/>
      <c r="GO821" s="338"/>
      <c r="GP821" s="338"/>
      <c r="GQ821" s="338"/>
      <c r="GR821" s="338"/>
      <c r="GS821" s="338"/>
      <c r="GT821" s="338"/>
      <c r="GU821" s="338"/>
      <c r="GV821" s="338"/>
      <c r="GW821" s="338"/>
      <c r="GX821" s="338"/>
      <c r="GY821" s="338"/>
      <c r="GZ821" s="338"/>
      <c r="HA821" s="338"/>
      <c r="HB821" s="338"/>
      <c r="HC821" s="338"/>
      <c r="HD821" s="338"/>
      <c r="HE821" s="338"/>
      <c r="HF821" s="338"/>
      <c r="HG821" s="338"/>
      <c r="HH821" s="338"/>
      <c r="HI821" s="338"/>
      <c r="HJ821" s="338"/>
      <c r="HK821" s="338"/>
      <c r="HL821" s="338"/>
      <c r="HM821" s="338"/>
      <c r="HN821" s="338"/>
      <c r="HO821" s="338"/>
      <c r="HP821" s="338"/>
      <c r="HQ821" s="338"/>
      <c r="HR821" s="338"/>
      <c r="HS821" s="338"/>
      <c r="HT821" s="338"/>
      <c r="HU821" s="338"/>
      <c r="HV821" s="338"/>
      <c r="HW821" s="338"/>
      <c r="HX821" s="338"/>
      <c r="HY821" s="338"/>
      <c r="HZ821" s="338"/>
      <c r="IA821" s="338"/>
      <c r="IB821" s="338"/>
      <c r="IC821" s="338"/>
      <c r="ID821" s="338"/>
      <c r="IE821" s="338"/>
      <c r="IF821" s="338"/>
      <c r="IG821" s="338"/>
      <c r="IH821" s="338"/>
      <c r="II821" s="338"/>
      <c r="IJ821" s="338"/>
      <c r="IK821" s="338"/>
      <c r="IL821" s="338"/>
      <c r="IM821" s="338"/>
      <c r="IN821" s="338"/>
      <c r="IO821" s="338"/>
      <c r="IP821" s="338"/>
      <c r="IQ821" s="338"/>
      <c r="IR821" s="338"/>
      <c r="IS821" s="338"/>
      <c r="IT821" s="338"/>
      <c r="IU821" s="338"/>
      <c r="IV821" s="338"/>
      <c r="IW821" s="338"/>
      <c r="IX821" s="338"/>
      <c r="IY821" s="338"/>
      <c r="IZ821" s="338"/>
      <c r="JA821" s="338"/>
      <c r="JB821" s="338"/>
      <c r="JC821" s="338"/>
    </row>
    <row r="822" spans="1:263" ht="45" customHeight="1" x14ac:dyDescent="0.4">
      <c r="A822" s="323">
        <v>754221</v>
      </c>
      <c r="B822" s="324" t="s">
        <v>3305</v>
      </c>
      <c r="C822" s="325" t="s">
        <v>3304</v>
      </c>
      <c r="D822" s="326" t="s">
        <v>2045</v>
      </c>
      <c r="E822" s="327" t="s">
        <v>1753</v>
      </c>
      <c r="F822" s="327" t="s">
        <v>5061</v>
      </c>
      <c r="G822" s="327" t="s">
        <v>383</v>
      </c>
      <c r="H822" s="325" t="e">
        <v>#N/A</v>
      </c>
      <c r="I822" s="325" t="e">
        <v>#N/A</v>
      </c>
      <c r="J822" s="328">
        <v>75</v>
      </c>
      <c r="K822" s="329">
        <v>7542</v>
      </c>
      <c r="L822" s="325" t="s">
        <v>3281</v>
      </c>
      <c r="M822" s="326" t="s">
        <v>2076</v>
      </c>
      <c r="N822" s="326"/>
      <c r="O822" s="330">
        <v>176517.53</v>
      </c>
      <c r="P822" s="330">
        <v>3387.51</v>
      </c>
      <c r="Q822" s="331">
        <v>7542</v>
      </c>
      <c r="R822" s="330">
        <v>35</v>
      </c>
      <c r="S822" s="330">
        <v>1</v>
      </c>
      <c r="T822" s="326" t="s">
        <v>170</v>
      </c>
      <c r="U822" s="326" t="s">
        <v>2040</v>
      </c>
      <c r="V822" s="332" t="s">
        <v>228</v>
      </c>
      <c r="W822" s="333">
        <v>75037</v>
      </c>
      <c r="X822" s="338"/>
      <c r="Y822" s="338"/>
      <c r="Z822" s="338"/>
      <c r="AA822" s="338"/>
      <c r="AB822" s="338"/>
      <c r="AC822" s="338"/>
      <c r="AD822" s="338"/>
      <c r="AE822" s="338"/>
      <c r="AF822" s="338"/>
      <c r="AG822" s="338"/>
      <c r="AH822" s="338"/>
      <c r="AI822" s="338"/>
      <c r="AJ822" s="338"/>
      <c r="AK822" s="338"/>
      <c r="AL822" s="338"/>
      <c r="AM822" s="338"/>
      <c r="AN822" s="338"/>
      <c r="AO822" s="338"/>
      <c r="AP822" s="338"/>
      <c r="AQ822" s="338"/>
      <c r="AR822" s="338"/>
      <c r="AS822" s="338"/>
      <c r="AT822" s="338"/>
      <c r="AU822" s="338"/>
      <c r="AV822" s="338"/>
      <c r="AW822" s="338"/>
      <c r="AX822" s="338"/>
      <c r="AY822" s="338"/>
      <c r="AZ822" s="338"/>
      <c r="BA822" s="338"/>
      <c r="BB822" s="338"/>
      <c r="BC822" s="338"/>
      <c r="BD822" s="338"/>
      <c r="BE822" s="338"/>
      <c r="BF822" s="338"/>
      <c r="BG822" s="338"/>
      <c r="BH822" s="338"/>
      <c r="BI822" s="338"/>
      <c r="BJ822" s="338"/>
      <c r="BK822" s="338"/>
      <c r="BL822" s="338"/>
      <c r="BM822" s="338"/>
      <c r="BN822" s="338"/>
      <c r="BO822" s="338"/>
      <c r="BP822" s="338"/>
      <c r="BQ822" s="338"/>
      <c r="BR822" s="338"/>
      <c r="BS822" s="338"/>
      <c r="BT822" s="338"/>
      <c r="BU822" s="338"/>
      <c r="BV822" s="338"/>
      <c r="BW822" s="338"/>
      <c r="BX822" s="338"/>
      <c r="BY822" s="338"/>
      <c r="BZ822" s="338"/>
      <c r="CA822" s="338"/>
      <c r="CB822" s="338"/>
      <c r="CC822" s="338"/>
      <c r="CD822" s="338"/>
      <c r="CE822" s="338"/>
      <c r="CF822" s="338"/>
      <c r="CG822" s="338"/>
      <c r="CH822" s="338"/>
      <c r="CI822" s="338"/>
      <c r="CJ822" s="338"/>
      <c r="CK822" s="338"/>
      <c r="CL822" s="338"/>
      <c r="CM822" s="338"/>
      <c r="CN822" s="338"/>
      <c r="CO822" s="338"/>
      <c r="CP822" s="338"/>
      <c r="CQ822" s="338"/>
      <c r="CR822" s="338"/>
      <c r="CS822" s="338"/>
      <c r="CT822" s="338"/>
      <c r="CU822" s="338"/>
      <c r="CV822" s="338"/>
      <c r="CW822" s="338"/>
      <c r="CX822" s="338"/>
      <c r="CY822" s="338"/>
      <c r="CZ822" s="338"/>
      <c r="DA822" s="338"/>
      <c r="DB822" s="338"/>
      <c r="DC822" s="338"/>
      <c r="DD822" s="338"/>
      <c r="DE822" s="338"/>
      <c r="DF822" s="338"/>
      <c r="DG822" s="338"/>
      <c r="DH822" s="338"/>
      <c r="DI822" s="338"/>
      <c r="DJ822" s="338"/>
      <c r="DK822" s="338"/>
      <c r="DL822" s="338"/>
      <c r="DM822" s="338"/>
      <c r="DN822" s="338"/>
      <c r="DO822" s="338"/>
      <c r="DP822" s="338"/>
      <c r="DQ822" s="338"/>
      <c r="DR822" s="338"/>
      <c r="DS822" s="338"/>
      <c r="DT822" s="338"/>
      <c r="DU822" s="338"/>
      <c r="DV822" s="338"/>
      <c r="DW822" s="338"/>
      <c r="DX822" s="338"/>
      <c r="DY822" s="338"/>
      <c r="DZ822" s="338"/>
      <c r="EA822" s="338"/>
      <c r="EB822" s="338"/>
      <c r="EC822" s="338"/>
      <c r="ED822" s="338"/>
      <c r="EE822" s="338"/>
      <c r="EF822" s="338"/>
      <c r="EG822" s="338"/>
      <c r="EH822" s="338"/>
      <c r="EI822" s="338"/>
      <c r="EJ822" s="338"/>
      <c r="EK822" s="338"/>
      <c r="EL822" s="338"/>
      <c r="EM822" s="338"/>
      <c r="EN822" s="338"/>
      <c r="EO822" s="338"/>
      <c r="EP822" s="338"/>
      <c r="EQ822" s="338"/>
      <c r="ER822" s="338"/>
      <c r="ES822" s="338"/>
      <c r="ET822" s="338"/>
      <c r="EU822" s="338"/>
      <c r="EV822" s="338"/>
      <c r="EW822" s="338"/>
      <c r="EX822" s="338"/>
      <c r="EY822" s="338"/>
      <c r="EZ822" s="338"/>
      <c r="FA822" s="338"/>
      <c r="FB822" s="338"/>
      <c r="FC822" s="338"/>
      <c r="FD822" s="338"/>
      <c r="FE822" s="338"/>
      <c r="FF822" s="338"/>
      <c r="FG822" s="338"/>
      <c r="FH822" s="338"/>
      <c r="FI822" s="338"/>
      <c r="FJ822" s="338"/>
      <c r="FK822" s="338"/>
      <c r="FL822" s="338"/>
      <c r="FM822" s="338"/>
      <c r="FN822" s="338"/>
      <c r="FO822" s="338"/>
      <c r="FP822" s="338"/>
      <c r="FQ822" s="338"/>
      <c r="FR822" s="338"/>
      <c r="FS822" s="338"/>
      <c r="FT822" s="338"/>
      <c r="FU822" s="338"/>
      <c r="FV822" s="338"/>
      <c r="FW822" s="338"/>
      <c r="FX822" s="338"/>
      <c r="FY822" s="338"/>
      <c r="FZ822" s="338"/>
      <c r="GA822" s="338"/>
      <c r="GB822" s="338"/>
      <c r="GC822" s="338"/>
      <c r="GD822" s="338"/>
      <c r="GE822" s="338"/>
      <c r="GF822" s="338"/>
      <c r="GG822" s="338"/>
      <c r="GH822" s="338"/>
      <c r="GI822" s="338"/>
      <c r="GJ822" s="338"/>
      <c r="GK822" s="338"/>
      <c r="GL822" s="338"/>
      <c r="GM822" s="338"/>
      <c r="GN822" s="338"/>
      <c r="GO822" s="338"/>
      <c r="GP822" s="338"/>
      <c r="GQ822" s="338"/>
      <c r="GR822" s="338"/>
      <c r="GS822" s="338"/>
      <c r="GT822" s="338"/>
      <c r="GU822" s="338"/>
      <c r="GV822" s="338"/>
      <c r="GW822" s="338"/>
      <c r="GX822" s="338"/>
      <c r="GY822" s="338"/>
      <c r="GZ822" s="338"/>
      <c r="HA822" s="338"/>
      <c r="HB822" s="338"/>
      <c r="HC822" s="338"/>
      <c r="HD822" s="338"/>
      <c r="HE822" s="338"/>
      <c r="HF822" s="338"/>
      <c r="HG822" s="338"/>
      <c r="HH822" s="338"/>
      <c r="HI822" s="338"/>
      <c r="HJ822" s="338"/>
      <c r="HK822" s="338"/>
      <c r="HL822" s="338"/>
      <c r="HM822" s="338"/>
      <c r="HN822" s="338"/>
      <c r="HO822" s="338"/>
      <c r="HP822" s="338"/>
      <c r="HQ822" s="338"/>
      <c r="HR822" s="338"/>
      <c r="HS822" s="338"/>
      <c r="HT822" s="338"/>
      <c r="HU822" s="338"/>
      <c r="HV822" s="338"/>
      <c r="HW822" s="338"/>
      <c r="HX822" s="338"/>
      <c r="HY822" s="338"/>
      <c r="HZ822" s="338"/>
      <c r="IA822" s="338"/>
      <c r="IB822" s="338"/>
      <c r="IC822" s="338"/>
      <c r="ID822" s="338"/>
      <c r="IE822" s="338"/>
      <c r="IF822" s="338"/>
      <c r="IG822" s="338"/>
      <c r="IH822" s="338"/>
      <c r="II822" s="338"/>
      <c r="IJ822" s="338"/>
      <c r="IK822" s="338"/>
      <c r="IL822" s="338"/>
      <c r="IM822" s="338"/>
      <c r="IN822" s="338"/>
      <c r="IO822" s="338"/>
      <c r="IP822" s="338"/>
      <c r="IQ822" s="338"/>
      <c r="IR822" s="338"/>
      <c r="IS822" s="338"/>
      <c r="IT822" s="338"/>
      <c r="IU822" s="338"/>
      <c r="IV822" s="338"/>
      <c r="IW822" s="338"/>
      <c r="IX822" s="338"/>
      <c r="IY822" s="338"/>
      <c r="IZ822" s="338"/>
      <c r="JA822" s="338"/>
      <c r="JB822" s="338"/>
      <c r="JC822" s="338"/>
    </row>
    <row r="823" spans="1:263" ht="45" customHeight="1" x14ac:dyDescent="0.4">
      <c r="A823" s="323">
        <v>760111</v>
      </c>
      <c r="B823" s="324" t="s">
        <v>5062</v>
      </c>
      <c r="C823" s="325" t="s">
        <v>3306</v>
      </c>
      <c r="D823" s="326" t="s">
        <v>2084</v>
      </c>
      <c r="E823" s="327" t="s">
        <v>1754</v>
      </c>
      <c r="F823" s="327"/>
      <c r="G823" s="327" t="s">
        <v>1755</v>
      </c>
      <c r="H823" s="325" t="s">
        <v>2391</v>
      </c>
      <c r="I823" s="325" t="s">
        <v>3307</v>
      </c>
      <c r="J823" s="328">
        <v>76</v>
      </c>
      <c r="K823" s="329">
        <v>7601</v>
      </c>
      <c r="L823" s="325" t="s">
        <v>2392</v>
      </c>
      <c r="M823" s="326" t="s">
        <v>226</v>
      </c>
      <c r="N823" s="326"/>
      <c r="O823" s="330">
        <v>423.05</v>
      </c>
      <c r="P823" s="330">
        <v>4.04</v>
      </c>
      <c r="Q823" s="331">
        <v>7601</v>
      </c>
      <c r="R823" s="330">
        <v>86000</v>
      </c>
      <c r="S823" s="330">
        <v>19000</v>
      </c>
      <c r="T823" s="326" t="s">
        <v>170</v>
      </c>
      <c r="U823" s="326" t="s">
        <v>2040</v>
      </c>
      <c r="V823" s="332">
        <v>76010</v>
      </c>
      <c r="W823" s="333">
        <v>76010</v>
      </c>
    </row>
    <row r="824" spans="1:263" ht="45" customHeight="1" x14ac:dyDescent="0.4">
      <c r="A824" s="323">
        <v>760130</v>
      </c>
      <c r="B824" s="324" t="s">
        <v>5063</v>
      </c>
      <c r="C824" s="325" t="s">
        <v>3308</v>
      </c>
      <c r="D824" s="326" t="s">
        <v>2084</v>
      </c>
      <c r="E824" s="327" t="s">
        <v>5064</v>
      </c>
      <c r="F824" s="327"/>
      <c r="G824" s="327" t="s">
        <v>383</v>
      </c>
      <c r="H824" s="325" t="e">
        <v>#N/A</v>
      </c>
      <c r="I824" s="325" t="e">
        <v>#N/A</v>
      </c>
      <c r="J824" s="326">
        <v>76</v>
      </c>
      <c r="K824" s="329">
        <v>7601</v>
      </c>
      <c r="L824" s="325" t="s">
        <v>2392</v>
      </c>
      <c r="M824" s="326" t="s">
        <v>226</v>
      </c>
      <c r="N824" s="326"/>
      <c r="O824" s="330">
        <v>423.05</v>
      </c>
      <c r="P824" s="330">
        <v>4.04</v>
      </c>
      <c r="Q824" s="331">
        <v>7601</v>
      </c>
      <c r="R824" s="330">
        <v>86000</v>
      </c>
      <c r="S824" s="330">
        <v>19000</v>
      </c>
      <c r="T824" s="326" t="s">
        <v>170</v>
      </c>
      <c r="U824" s="326" t="s">
        <v>2040</v>
      </c>
      <c r="V824" s="332"/>
      <c r="W824" s="333"/>
    </row>
    <row r="825" spans="1:263" ht="45" customHeight="1" x14ac:dyDescent="0.4">
      <c r="A825" s="323">
        <v>760330</v>
      </c>
      <c r="B825" s="324" t="s">
        <v>5065</v>
      </c>
      <c r="C825" s="325" t="s">
        <v>1759</v>
      </c>
      <c r="D825" s="326" t="s">
        <v>2045</v>
      </c>
      <c r="E825" s="327" t="s">
        <v>1756</v>
      </c>
      <c r="F825" s="327"/>
      <c r="G825" s="327" t="s">
        <v>383</v>
      </c>
      <c r="H825" s="325" t="e">
        <v>#N/A</v>
      </c>
      <c r="I825" s="325" t="e">
        <v>#N/A</v>
      </c>
      <c r="J825" s="328">
        <v>76</v>
      </c>
      <c r="K825" s="329">
        <v>7603</v>
      </c>
      <c r="L825" s="325" t="s">
        <v>3309</v>
      </c>
      <c r="M825" s="326" t="s">
        <v>2076</v>
      </c>
      <c r="N825" s="326"/>
      <c r="O825" s="330">
        <v>0</v>
      </c>
      <c r="P825" s="330">
        <v>0</v>
      </c>
      <c r="Q825" s="331">
        <v>7603</v>
      </c>
      <c r="R825" s="330">
        <v>1</v>
      </c>
      <c r="S825" s="330">
        <v>1</v>
      </c>
      <c r="T825" s="326" t="s">
        <v>170</v>
      </c>
      <c r="U825" s="326" t="s">
        <v>2040</v>
      </c>
      <c r="V825" s="332">
        <v>76033</v>
      </c>
      <c r="W825" s="333">
        <v>76030</v>
      </c>
    </row>
    <row r="826" spans="1:263" ht="45" customHeight="1" x14ac:dyDescent="0.4">
      <c r="A826" s="323">
        <v>760350</v>
      </c>
      <c r="B826" s="324" t="s">
        <v>3310</v>
      </c>
      <c r="C826" s="325" t="s">
        <v>1757</v>
      </c>
      <c r="D826" s="326" t="s">
        <v>2045</v>
      </c>
      <c r="E826" s="327" t="s">
        <v>1758</v>
      </c>
      <c r="F826" s="327"/>
      <c r="G826" s="327" t="s">
        <v>383</v>
      </c>
      <c r="H826" s="325" t="e">
        <v>#N/A</v>
      </c>
      <c r="I826" s="325" t="e">
        <v>#N/A</v>
      </c>
      <c r="J826" s="328">
        <v>76</v>
      </c>
      <c r="K826" s="329">
        <v>7604</v>
      </c>
      <c r="L826" s="325" t="s">
        <v>3310</v>
      </c>
      <c r="M826" s="326" t="s">
        <v>2602</v>
      </c>
      <c r="N826" s="326"/>
      <c r="O826" s="330">
        <v>161.80000000000001</v>
      </c>
      <c r="P826" s="330">
        <v>0</v>
      </c>
      <c r="Q826" s="331">
        <v>7604</v>
      </c>
      <c r="R826" s="330">
        <v>750</v>
      </c>
      <c r="S826" s="330">
        <v>1</v>
      </c>
      <c r="T826" s="326" t="s">
        <v>170</v>
      </c>
      <c r="U826" s="326" t="s">
        <v>2040</v>
      </c>
      <c r="V826" s="332" t="s">
        <v>3311</v>
      </c>
      <c r="W826" s="333" t="s">
        <v>228</v>
      </c>
    </row>
    <row r="827" spans="1:263" ht="45" customHeight="1" x14ac:dyDescent="0.4">
      <c r="A827" s="323">
        <v>760511</v>
      </c>
      <c r="B827" s="324" t="s">
        <v>3309</v>
      </c>
      <c r="C827" s="325" t="s">
        <v>1759</v>
      </c>
      <c r="D827" s="326" t="s">
        <v>2045</v>
      </c>
      <c r="E827" s="327" t="s">
        <v>1760</v>
      </c>
      <c r="F827" s="327"/>
      <c r="G827" s="327" t="s">
        <v>1761</v>
      </c>
      <c r="H827" s="325" t="s">
        <v>2986</v>
      </c>
      <c r="I827" s="325" t="s">
        <v>3069</v>
      </c>
      <c r="J827" s="328">
        <v>76</v>
      </c>
      <c r="K827" s="329">
        <v>7603</v>
      </c>
      <c r="L827" s="325" t="s">
        <v>3309</v>
      </c>
      <c r="M827" s="326" t="s">
        <v>2076</v>
      </c>
      <c r="N827" s="326"/>
      <c r="O827" s="330">
        <v>0</v>
      </c>
      <c r="P827" s="330">
        <v>0</v>
      </c>
      <c r="Q827" s="331">
        <v>7603</v>
      </c>
      <c r="R827" s="330">
        <v>1</v>
      </c>
      <c r="S827" s="330">
        <v>1</v>
      </c>
      <c r="T827" s="326" t="s">
        <v>170</v>
      </c>
      <c r="U827" s="326" t="s">
        <v>2040</v>
      </c>
      <c r="V827" s="332" t="s">
        <v>3312</v>
      </c>
      <c r="W827" s="333">
        <v>76030</v>
      </c>
    </row>
    <row r="828" spans="1:263" ht="45" customHeight="1" x14ac:dyDescent="0.4">
      <c r="A828" s="323">
        <v>760512</v>
      </c>
      <c r="B828" s="324" t="s">
        <v>5066</v>
      </c>
      <c r="C828" s="325" t="s">
        <v>3313</v>
      </c>
      <c r="D828" s="326" t="s">
        <v>2045</v>
      </c>
      <c r="E828" s="327" t="s">
        <v>1762</v>
      </c>
      <c r="F828" s="327"/>
      <c r="G828" s="327" t="s">
        <v>1763</v>
      </c>
      <c r="H828" s="325" t="s">
        <v>2391</v>
      </c>
      <c r="I828" s="325" t="s">
        <v>3307</v>
      </c>
      <c r="J828" s="328">
        <v>76</v>
      </c>
      <c r="K828" s="329">
        <v>7602</v>
      </c>
      <c r="L828" s="325" t="s">
        <v>3314</v>
      </c>
      <c r="M828" s="326" t="s">
        <v>2076</v>
      </c>
      <c r="N828" s="326"/>
      <c r="O828" s="330">
        <v>21862.82</v>
      </c>
      <c r="P828" s="330">
        <v>306.12</v>
      </c>
      <c r="Q828" s="331">
        <v>7602</v>
      </c>
      <c r="R828" s="330">
        <v>100</v>
      </c>
      <c r="S828" s="330">
        <v>1</v>
      </c>
      <c r="T828" s="326" t="s">
        <v>170</v>
      </c>
      <c r="U828" s="326" t="s">
        <v>2040</v>
      </c>
      <c r="V828" s="332">
        <v>76020</v>
      </c>
      <c r="W828" s="333">
        <v>76020</v>
      </c>
    </row>
    <row r="829" spans="1:263" ht="45" customHeight="1" x14ac:dyDescent="0.4">
      <c r="A829" s="323">
        <v>811143</v>
      </c>
      <c r="B829" s="324" t="s">
        <v>5067</v>
      </c>
      <c r="C829" s="325" t="s">
        <v>3315</v>
      </c>
      <c r="D829" s="326" t="s">
        <v>2045</v>
      </c>
      <c r="E829" s="327" t="s">
        <v>1764</v>
      </c>
      <c r="F829" s="327"/>
      <c r="G829" s="327" t="s">
        <v>383</v>
      </c>
      <c r="H829" s="325" t="e">
        <v>#N/A</v>
      </c>
      <c r="I829" s="325" t="e">
        <v>#N/A</v>
      </c>
      <c r="J829" s="328">
        <v>81</v>
      </c>
      <c r="K829" s="329">
        <v>8115</v>
      </c>
      <c r="L829" s="325" t="s">
        <v>3316</v>
      </c>
      <c r="M829" s="326" t="s">
        <v>3317</v>
      </c>
      <c r="N829" s="326"/>
      <c r="O829" s="330">
        <v>18657.23</v>
      </c>
      <c r="P829" s="330">
        <v>26.5</v>
      </c>
      <c r="Q829" s="331">
        <v>8115</v>
      </c>
      <c r="R829" s="330">
        <v>16000</v>
      </c>
      <c r="S829" s="330">
        <v>400</v>
      </c>
      <c r="T829" s="326" t="s">
        <v>170</v>
      </c>
      <c r="U829" s="326" t="s">
        <v>2040</v>
      </c>
      <c r="V829" s="332">
        <v>81122</v>
      </c>
      <c r="W829" s="333">
        <v>81150</v>
      </c>
    </row>
    <row r="830" spans="1:263" ht="45" customHeight="1" x14ac:dyDescent="0.4">
      <c r="A830" s="323">
        <v>811144</v>
      </c>
      <c r="B830" s="324" t="s">
        <v>5068</v>
      </c>
      <c r="C830" s="325" t="s">
        <v>3318</v>
      </c>
      <c r="D830" s="326" t="s">
        <v>2084</v>
      </c>
      <c r="E830" s="327" t="s">
        <v>1764</v>
      </c>
      <c r="F830" s="327"/>
      <c r="G830" s="327" t="s">
        <v>1765</v>
      </c>
      <c r="H830" s="325" t="s">
        <v>2035</v>
      </c>
      <c r="I830" s="325" t="s">
        <v>2324</v>
      </c>
      <c r="J830" s="328">
        <v>89</v>
      </c>
      <c r="K830" s="329">
        <v>8910</v>
      </c>
      <c r="L830" s="325" t="s">
        <v>3319</v>
      </c>
      <c r="M830" s="326" t="s">
        <v>226</v>
      </c>
      <c r="N830" s="326"/>
      <c r="O830" s="330">
        <v>265.08</v>
      </c>
      <c r="P830" s="330">
        <v>7.01</v>
      </c>
      <c r="Q830" s="331">
        <v>8910</v>
      </c>
      <c r="R830" s="330">
        <v>150000</v>
      </c>
      <c r="S830" s="330">
        <v>1300</v>
      </c>
      <c r="T830" s="326" t="s">
        <v>170</v>
      </c>
      <c r="U830" s="326" t="s">
        <v>2040</v>
      </c>
      <c r="V830" s="332">
        <v>89120</v>
      </c>
      <c r="W830" s="333">
        <v>81109</v>
      </c>
    </row>
    <row r="831" spans="1:263" ht="45" customHeight="1" x14ac:dyDescent="0.4">
      <c r="A831" s="323">
        <v>811145</v>
      </c>
      <c r="B831" s="324" t="s">
        <v>5069</v>
      </c>
      <c r="C831" s="325" t="s">
        <v>3320</v>
      </c>
      <c r="D831" s="326" t="s">
        <v>2045</v>
      </c>
      <c r="E831" s="327" t="s">
        <v>3756</v>
      </c>
      <c r="F831" s="327" t="s">
        <v>5070</v>
      </c>
      <c r="G831" s="327" t="s">
        <v>1766</v>
      </c>
      <c r="H831" s="325" t="s">
        <v>2035</v>
      </c>
      <c r="I831" s="325" t="s">
        <v>2324</v>
      </c>
      <c r="J831" s="328">
        <v>81</v>
      </c>
      <c r="K831" s="329">
        <v>8115</v>
      </c>
      <c r="L831" s="325" t="s">
        <v>3316</v>
      </c>
      <c r="M831" s="326" t="s">
        <v>3317</v>
      </c>
      <c r="N831" s="326"/>
      <c r="O831" s="330">
        <v>18657.23</v>
      </c>
      <c r="P831" s="330">
        <v>26.5</v>
      </c>
      <c r="Q831" s="331">
        <v>8115</v>
      </c>
      <c r="R831" s="330">
        <v>16000</v>
      </c>
      <c r="S831" s="330">
        <v>400</v>
      </c>
      <c r="T831" s="326" t="s">
        <v>170</v>
      </c>
      <c r="U831" s="326" t="s">
        <v>2040</v>
      </c>
      <c r="V831" s="332">
        <v>81122</v>
      </c>
      <c r="W831" s="333">
        <v>81150</v>
      </c>
    </row>
    <row r="832" spans="1:263" ht="45" customHeight="1" x14ac:dyDescent="0.4">
      <c r="A832" s="323">
        <v>811146</v>
      </c>
      <c r="B832" s="324" t="s">
        <v>5071</v>
      </c>
      <c r="C832" s="325" t="s">
        <v>1767</v>
      </c>
      <c r="D832" s="326" t="s">
        <v>2045</v>
      </c>
      <c r="E832" s="327" t="s">
        <v>1768</v>
      </c>
      <c r="F832" s="327" t="s">
        <v>5072</v>
      </c>
      <c r="G832" s="327" t="s">
        <v>383</v>
      </c>
      <c r="H832" s="325" t="e">
        <v>#N/A</v>
      </c>
      <c r="I832" s="325" t="e">
        <v>#N/A</v>
      </c>
      <c r="J832" s="328">
        <v>81</v>
      </c>
      <c r="K832" s="329">
        <v>8114</v>
      </c>
      <c r="L832" s="325" t="s">
        <v>3321</v>
      </c>
      <c r="M832" s="326" t="s">
        <v>3317</v>
      </c>
      <c r="N832" s="326"/>
      <c r="O832" s="330">
        <v>6907.88</v>
      </c>
      <c r="P832" s="330">
        <v>26.34</v>
      </c>
      <c r="Q832" s="331">
        <v>8114</v>
      </c>
      <c r="R832" s="330">
        <v>1500</v>
      </c>
      <c r="S832" s="330">
        <v>500</v>
      </c>
      <c r="T832" s="326" t="s">
        <v>170</v>
      </c>
      <c r="U832" s="326" t="s">
        <v>2040</v>
      </c>
      <c r="V832" s="332">
        <v>81146</v>
      </c>
      <c r="W832" s="333">
        <v>81146</v>
      </c>
    </row>
    <row r="833" spans="1:23" ht="45" customHeight="1" x14ac:dyDescent="0.4">
      <c r="A833" s="323">
        <v>811147</v>
      </c>
      <c r="B833" s="324" t="s">
        <v>5073</v>
      </c>
      <c r="C833" s="325" t="s">
        <v>3322</v>
      </c>
      <c r="D833" s="326" t="s">
        <v>2045</v>
      </c>
      <c r="E833" s="327" t="s">
        <v>1769</v>
      </c>
      <c r="F833" s="327" t="s">
        <v>5074</v>
      </c>
      <c r="G833" s="327" t="s">
        <v>1770</v>
      </c>
      <c r="H833" s="325" t="s">
        <v>2035</v>
      </c>
      <c r="I833" s="325" t="s">
        <v>2324</v>
      </c>
      <c r="J833" s="328">
        <v>81</v>
      </c>
      <c r="K833" s="329">
        <v>8112</v>
      </c>
      <c r="L833" s="325" t="s">
        <v>3323</v>
      </c>
      <c r="M833" s="326" t="s">
        <v>3317</v>
      </c>
      <c r="N833" s="326"/>
      <c r="O833" s="330">
        <v>1284.5899999999999</v>
      </c>
      <c r="P833" s="330">
        <v>26.34</v>
      </c>
      <c r="Q833" s="331">
        <v>8112</v>
      </c>
      <c r="R833" s="330">
        <v>14000</v>
      </c>
      <c r="S833" s="330">
        <v>300</v>
      </c>
      <c r="T833" s="326" t="s">
        <v>170</v>
      </c>
      <c r="U833" s="326" t="s">
        <v>2040</v>
      </c>
      <c r="V833" s="332">
        <v>81160</v>
      </c>
      <c r="W833" s="333">
        <v>81160</v>
      </c>
    </row>
    <row r="834" spans="1:23" ht="45" customHeight="1" x14ac:dyDescent="0.4">
      <c r="A834" s="323">
        <v>811149</v>
      </c>
      <c r="B834" s="324" t="s">
        <v>5075</v>
      </c>
      <c r="C834" s="325" t="s">
        <v>3324</v>
      </c>
      <c r="D834" s="326" t="s">
        <v>2084</v>
      </c>
      <c r="E834" s="327" t="s">
        <v>1771</v>
      </c>
      <c r="F834" s="327"/>
      <c r="G834" s="327" t="s">
        <v>1772</v>
      </c>
      <c r="H834" s="325" t="s">
        <v>2035</v>
      </c>
      <c r="I834" s="325" t="s">
        <v>2324</v>
      </c>
      <c r="J834" s="328">
        <v>89</v>
      </c>
      <c r="K834" s="329">
        <v>8910</v>
      </c>
      <c r="L834" s="325" t="s">
        <v>3319</v>
      </c>
      <c r="M834" s="326" t="s">
        <v>226</v>
      </c>
      <c r="N834" s="326"/>
      <c r="O834" s="330">
        <v>265.08</v>
      </c>
      <c r="P834" s="330">
        <v>7.01</v>
      </c>
      <c r="Q834" s="331">
        <v>8910</v>
      </c>
      <c r="R834" s="330">
        <v>150000</v>
      </c>
      <c r="S834" s="330">
        <v>1300</v>
      </c>
      <c r="T834" s="326" t="s">
        <v>170</v>
      </c>
      <c r="U834" s="326" t="s">
        <v>2040</v>
      </c>
      <c r="V834" s="332" t="s">
        <v>3325</v>
      </c>
      <c r="W834" s="333" t="s">
        <v>3326</v>
      </c>
    </row>
    <row r="835" spans="1:23" ht="45" customHeight="1" x14ac:dyDescent="0.4">
      <c r="A835" s="323">
        <v>811600</v>
      </c>
      <c r="B835" s="324" t="s">
        <v>5076</v>
      </c>
      <c r="C835" s="325" t="s">
        <v>3757</v>
      </c>
      <c r="D835" s="326" t="s">
        <v>2045</v>
      </c>
      <c r="E835" s="327" t="s">
        <v>5077</v>
      </c>
      <c r="F835" s="327"/>
      <c r="G835" s="327" t="s">
        <v>383</v>
      </c>
      <c r="H835" s="325"/>
      <c r="I835" s="325"/>
      <c r="J835" s="328">
        <v>81</v>
      </c>
      <c r="K835" s="329">
        <v>8112</v>
      </c>
      <c r="L835" s="325" t="s">
        <v>3323</v>
      </c>
      <c r="M835" s="326" t="s">
        <v>3317</v>
      </c>
      <c r="N835" s="326"/>
      <c r="O835" s="330">
        <v>1284.5899999999999</v>
      </c>
      <c r="P835" s="330">
        <v>26.34</v>
      </c>
      <c r="Q835" s="331">
        <v>8112</v>
      </c>
      <c r="R835" s="330">
        <v>14000</v>
      </c>
      <c r="S835" s="330">
        <v>300</v>
      </c>
      <c r="T835" s="326" t="s">
        <v>170</v>
      </c>
      <c r="U835" s="326" t="s">
        <v>2040</v>
      </c>
      <c r="V835" s="332"/>
      <c r="W835" s="333"/>
    </row>
    <row r="836" spans="1:23" ht="45" customHeight="1" x14ac:dyDescent="0.4">
      <c r="A836" s="323">
        <v>811601</v>
      </c>
      <c r="B836" s="324" t="s">
        <v>5078</v>
      </c>
      <c r="C836" s="325" t="s">
        <v>3882</v>
      </c>
      <c r="D836" s="326" t="s">
        <v>2045</v>
      </c>
      <c r="E836" s="327" t="s">
        <v>5079</v>
      </c>
      <c r="F836" s="327"/>
      <c r="G836" s="327" t="s">
        <v>383</v>
      </c>
      <c r="H836" s="325"/>
      <c r="I836" s="325"/>
      <c r="J836" s="328">
        <v>81</v>
      </c>
      <c r="K836" s="329">
        <v>8116</v>
      </c>
      <c r="L836" s="325" t="s">
        <v>3883</v>
      </c>
      <c r="M836" s="326" t="s">
        <v>5080</v>
      </c>
      <c r="N836" s="326"/>
      <c r="O836" s="330">
        <v>2420015.34</v>
      </c>
      <c r="P836" s="330">
        <v>46386.92</v>
      </c>
      <c r="Q836" s="331">
        <v>8116</v>
      </c>
      <c r="R836" s="330">
        <v>18</v>
      </c>
      <c r="S836" s="330">
        <v>2</v>
      </c>
      <c r="T836" s="326" t="s">
        <v>170</v>
      </c>
      <c r="U836" s="326" t="s">
        <v>2040</v>
      </c>
      <c r="V836" s="332"/>
      <c r="W836" s="333"/>
    </row>
    <row r="837" spans="1:23" ht="45" customHeight="1" x14ac:dyDescent="0.4">
      <c r="A837" s="323">
        <v>812223</v>
      </c>
      <c r="B837" s="324" t="s">
        <v>5081</v>
      </c>
      <c r="C837" s="325" t="s">
        <v>3327</v>
      </c>
      <c r="D837" s="326" t="s">
        <v>2034</v>
      </c>
      <c r="E837" s="327" t="s">
        <v>5082</v>
      </c>
      <c r="F837" s="327" t="s">
        <v>3884</v>
      </c>
      <c r="G837" s="327" t="s">
        <v>1773</v>
      </c>
      <c r="H837" s="325" t="s">
        <v>2035</v>
      </c>
      <c r="I837" s="325" t="s">
        <v>2324</v>
      </c>
      <c r="J837" s="328">
        <v>81</v>
      </c>
      <c r="K837" s="329">
        <v>8121</v>
      </c>
      <c r="L837" s="325" t="s">
        <v>3328</v>
      </c>
      <c r="M837" s="326" t="s">
        <v>2039</v>
      </c>
      <c r="N837" s="326"/>
      <c r="O837" s="330">
        <v>102.11</v>
      </c>
      <c r="P837" s="330">
        <v>0.42</v>
      </c>
      <c r="Q837" s="331">
        <v>8121</v>
      </c>
      <c r="R837" s="330">
        <v>1300000</v>
      </c>
      <c r="S837" s="330">
        <v>18000</v>
      </c>
      <c r="T837" s="326" t="s">
        <v>170</v>
      </c>
      <c r="U837" s="326" t="s">
        <v>2040</v>
      </c>
      <c r="V837" s="332">
        <v>81241</v>
      </c>
      <c r="W837" s="333">
        <v>81231</v>
      </c>
    </row>
    <row r="838" spans="1:23" ht="45" customHeight="1" x14ac:dyDescent="0.4">
      <c r="A838" s="323">
        <v>812224</v>
      </c>
      <c r="B838" s="324" t="s">
        <v>5083</v>
      </c>
      <c r="C838" s="325" t="s">
        <v>3329</v>
      </c>
      <c r="D838" s="326" t="s">
        <v>2034</v>
      </c>
      <c r="E838" s="327" t="s">
        <v>1774</v>
      </c>
      <c r="F838" s="327"/>
      <c r="G838" s="327" t="s">
        <v>1775</v>
      </c>
      <c r="H838" s="325" t="s">
        <v>2035</v>
      </c>
      <c r="I838" s="325" t="s">
        <v>2324</v>
      </c>
      <c r="J838" s="328">
        <v>81</v>
      </c>
      <c r="K838" s="329">
        <v>8121</v>
      </c>
      <c r="L838" s="325" t="s">
        <v>3328</v>
      </c>
      <c r="M838" s="326" t="s">
        <v>2039</v>
      </c>
      <c r="N838" s="326"/>
      <c r="O838" s="330">
        <v>102.11</v>
      </c>
      <c r="P838" s="330">
        <v>0.42</v>
      </c>
      <c r="Q838" s="331">
        <v>8121</v>
      </c>
      <c r="R838" s="330">
        <v>1300000</v>
      </c>
      <c r="S838" s="330">
        <v>18000</v>
      </c>
      <c r="T838" s="326" t="s">
        <v>170</v>
      </c>
      <c r="U838" s="326" t="s">
        <v>2040</v>
      </c>
      <c r="V838" s="332">
        <v>81241</v>
      </c>
      <c r="W838" s="333">
        <v>81231</v>
      </c>
    </row>
    <row r="839" spans="1:23" ht="45" customHeight="1" x14ac:dyDescent="0.4">
      <c r="A839" s="323">
        <v>812225</v>
      </c>
      <c r="B839" s="324" t="s">
        <v>5084</v>
      </c>
      <c r="C839" s="325" t="s">
        <v>3330</v>
      </c>
      <c r="D839" s="326" t="s">
        <v>2034</v>
      </c>
      <c r="E839" s="327" t="s">
        <v>5085</v>
      </c>
      <c r="F839" s="327" t="s">
        <v>3885</v>
      </c>
      <c r="G839" s="327" t="s">
        <v>1776</v>
      </c>
      <c r="H839" s="325" t="s">
        <v>2035</v>
      </c>
      <c r="I839" s="325" t="s">
        <v>2324</v>
      </c>
      <c r="J839" s="328">
        <v>81</v>
      </c>
      <c r="K839" s="329">
        <v>8123</v>
      </c>
      <c r="L839" s="325" t="s">
        <v>3331</v>
      </c>
      <c r="M839" s="326" t="s">
        <v>2039</v>
      </c>
      <c r="N839" s="326"/>
      <c r="O839" s="330">
        <v>220.93</v>
      </c>
      <c r="P839" s="330">
        <v>0.9</v>
      </c>
      <c r="Q839" s="331">
        <v>8123</v>
      </c>
      <c r="R839" s="330">
        <v>1200000</v>
      </c>
      <c r="S839" s="330">
        <v>5700</v>
      </c>
      <c r="T839" s="326" t="s">
        <v>170</v>
      </c>
      <c r="U839" s="326" t="s">
        <v>2040</v>
      </c>
      <c r="V839" s="332">
        <v>81242</v>
      </c>
      <c r="W839" s="333">
        <v>81232</v>
      </c>
    </row>
    <row r="840" spans="1:23" ht="45" customHeight="1" x14ac:dyDescent="0.4">
      <c r="A840" s="323">
        <v>812226</v>
      </c>
      <c r="B840" s="324" t="s">
        <v>5086</v>
      </c>
      <c r="C840" s="325" t="s">
        <v>3332</v>
      </c>
      <c r="D840" s="326" t="s">
        <v>2034</v>
      </c>
      <c r="E840" s="327" t="s">
        <v>1777</v>
      </c>
      <c r="F840" s="327"/>
      <c r="G840" s="327" t="s">
        <v>1778</v>
      </c>
      <c r="H840" s="325" t="s">
        <v>2035</v>
      </c>
      <c r="I840" s="325" t="s">
        <v>2324</v>
      </c>
      <c r="J840" s="328">
        <v>81</v>
      </c>
      <c r="K840" s="329">
        <v>8123</v>
      </c>
      <c r="L840" s="325" t="s">
        <v>3331</v>
      </c>
      <c r="M840" s="326" t="s">
        <v>2039</v>
      </c>
      <c r="N840" s="326"/>
      <c r="O840" s="330">
        <v>220.93</v>
      </c>
      <c r="P840" s="330">
        <v>0.9</v>
      </c>
      <c r="Q840" s="331">
        <v>8123</v>
      </c>
      <c r="R840" s="330">
        <v>1200000</v>
      </c>
      <c r="S840" s="330">
        <v>5700</v>
      </c>
      <c r="T840" s="326" t="s">
        <v>170</v>
      </c>
      <c r="U840" s="326" t="s">
        <v>2040</v>
      </c>
      <c r="V840" s="332">
        <v>81242</v>
      </c>
      <c r="W840" s="333">
        <v>81232</v>
      </c>
    </row>
    <row r="841" spans="1:23" ht="45" customHeight="1" x14ac:dyDescent="0.4">
      <c r="A841" s="335">
        <v>812410</v>
      </c>
      <c r="B841" s="324" t="s">
        <v>5087</v>
      </c>
      <c r="C841" s="325" t="s">
        <v>3886</v>
      </c>
      <c r="D841" s="326" t="s">
        <v>2045</v>
      </c>
      <c r="E841" s="327" t="s">
        <v>5088</v>
      </c>
      <c r="F841" s="327" t="s">
        <v>3887</v>
      </c>
      <c r="G841" s="327" t="s">
        <v>383</v>
      </c>
      <c r="H841" s="325" t="e">
        <v>#N/A</v>
      </c>
      <c r="I841" s="325" t="e">
        <v>#N/A</v>
      </c>
      <c r="J841" s="326">
        <v>81</v>
      </c>
      <c r="K841" s="329">
        <v>8124</v>
      </c>
      <c r="L841" s="325" t="s">
        <v>3888</v>
      </c>
      <c r="M841" s="326" t="s">
        <v>3317</v>
      </c>
      <c r="N841" s="326" t="s">
        <v>2090</v>
      </c>
      <c r="O841" s="330">
        <v>1901.91</v>
      </c>
      <c r="P841" s="330">
        <v>121.22</v>
      </c>
      <c r="Q841" s="331">
        <v>8124</v>
      </c>
      <c r="R841" s="330">
        <v>1750</v>
      </c>
      <c r="S841" s="330">
        <v>34</v>
      </c>
      <c r="T841" s="326" t="s">
        <v>170</v>
      </c>
      <c r="U841" s="326" t="s">
        <v>2040</v>
      </c>
      <c r="V841" s="332"/>
      <c r="W841" s="333"/>
    </row>
    <row r="842" spans="1:23" ht="45" customHeight="1" x14ac:dyDescent="0.4">
      <c r="A842" s="335">
        <v>812420</v>
      </c>
      <c r="B842" s="324" t="s">
        <v>5089</v>
      </c>
      <c r="C842" s="325" t="s">
        <v>3889</v>
      </c>
      <c r="D842" s="326" t="s">
        <v>2045</v>
      </c>
      <c r="E842" s="327" t="s">
        <v>5090</v>
      </c>
      <c r="F842" s="327" t="s">
        <v>3890</v>
      </c>
      <c r="G842" s="327" t="s">
        <v>383</v>
      </c>
      <c r="H842" s="325" t="e">
        <v>#N/A</v>
      </c>
      <c r="I842" s="325" t="e">
        <v>#N/A</v>
      </c>
      <c r="J842" s="326">
        <v>81</v>
      </c>
      <c r="K842" s="329">
        <v>8124</v>
      </c>
      <c r="L842" s="325" t="s">
        <v>3888</v>
      </c>
      <c r="M842" s="326" t="s">
        <v>3317</v>
      </c>
      <c r="N842" s="326" t="s">
        <v>2090</v>
      </c>
      <c r="O842" s="330">
        <v>1901.91</v>
      </c>
      <c r="P842" s="330">
        <v>121.22</v>
      </c>
      <c r="Q842" s="331">
        <v>8124</v>
      </c>
      <c r="R842" s="330">
        <v>1750</v>
      </c>
      <c r="S842" s="330">
        <v>34</v>
      </c>
      <c r="T842" s="326" t="s">
        <v>170</v>
      </c>
      <c r="U842" s="326" t="s">
        <v>2040</v>
      </c>
      <c r="V842" s="332"/>
      <c r="W842" s="333"/>
    </row>
    <row r="843" spans="1:23" ht="45" customHeight="1" x14ac:dyDescent="0.4">
      <c r="A843" s="335">
        <v>812430</v>
      </c>
      <c r="B843" s="324" t="s">
        <v>5091</v>
      </c>
      <c r="C843" s="325" t="s">
        <v>3891</v>
      </c>
      <c r="D843" s="326" t="s">
        <v>2045</v>
      </c>
      <c r="E843" s="327" t="s">
        <v>5092</v>
      </c>
      <c r="F843" s="327" t="s">
        <v>3892</v>
      </c>
      <c r="G843" s="327" t="s">
        <v>383</v>
      </c>
      <c r="H843" s="325" t="e">
        <v>#N/A</v>
      </c>
      <c r="I843" s="325" t="e">
        <v>#N/A</v>
      </c>
      <c r="J843" s="326">
        <v>81</v>
      </c>
      <c r="K843" s="329">
        <v>8124</v>
      </c>
      <c r="L843" s="325" t="s">
        <v>3888</v>
      </c>
      <c r="M843" s="326" t="s">
        <v>3317</v>
      </c>
      <c r="N843" s="326" t="s">
        <v>2090</v>
      </c>
      <c r="O843" s="330">
        <v>1901.91</v>
      </c>
      <c r="P843" s="330">
        <v>121.22</v>
      </c>
      <c r="Q843" s="331">
        <v>8124</v>
      </c>
      <c r="R843" s="330">
        <v>1750</v>
      </c>
      <c r="S843" s="330">
        <v>34</v>
      </c>
      <c r="T843" s="326" t="s">
        <v>170</v>
      </c>
      <c r="U843" s="326" t="s">
        <v>2040</v>
      </c>
      <c r="V843" s="332"/>
      <c r="W843" s="333"/>
    </row>
    <row r="844" spans="1:23" ht="45" customHeight="1" x14ac:dyDescent="0.4">
      <c r="A844" s="323">
        <v>812926</v>
      </c>
      <c r="B844" s="324" t="s">
        <v>5093</v>
      </c>
      <c r="C844" s="325" t="s">
        <v>3333</v>
      </c>
      <c r="D844" s="326" t="s">
        <v>2045</v>
      </c>
      <c r="E844" s="327" t="s">
        <v>1779</v>
      </c>
      <c r="F844" s="327" t="s">
        <v>3893</v>
      </c>
      <c r="G844" s="327" t="s">
        <v>1780</v>
      </c>
      <c r="H844" s="325" t="s">
        <v>2035</v>
      </c>
      <c r="I844" s="325" t="s">
        <v>2324</v>
      </c>
      <c r="J844" s="328">
        <v>81</v>
      </c>
      <c r="K844" s="329">
        <v>8122</v>
      </c>
      <c r="L844" s="325" t="s">
        <v>3334</v>
      </c>
      <c r="M844" s="326" t="s">
        <v>2076</v>
      </c>
      <c r="N844" s="326"/>
      <c r="O844" s="330">
        <v>12416.83</v>
      </c>
      <c r="P844" s="330">
        <v>78.650000000000006</v>
      </c>
      <c r="Q844" s="331">
        <v>8122</v>
      </c>
      <c r="R844" s="330">
        <v>10000</v>
      </c>
      <c r="S844" s="330">
        <v>30</v>
      </c>
      <c r="T844" s="326" t="s">
        <v>170</v>
      </c>
      <c r="U844" s="326" t="s">
        <v>2040</v>
      </c>
      <c r="V844" s="332">
        <v>81230</v>
      </c>
      <c r="W844" s="333" t="s">
        <v>3335</v>
      </c>
    </row>
    <row r="845" spans="1:23" ht="45" customHeight="1" x14ac:dyDescent="0.4">
      <c r="A845" s="323">
        <v>812928</v>
      </c>
      <c r="B845" s="324" t="s">
        <v>5094</v>
      </c>
      <c r="C845" s="325" t="s">
        <v>1781</v>
      </c>
      <c r="D845" s="326" t="s">
        <v>2045</v>
      </c>
      <c r="E845" s="327" t="s">
        <v>1782</v>
      </c>
      <c r="F845" s="327"/>
      <c r="G845" s="327" t="s">
        <v>383</v>
      </c>
      <c r="H845" s="325" t="s">
        <v>2035</v>
      </c>
      <c r="I845" s="325" t="s">
        <v>2324</v>
      </c>
      <c r="J845" s="328">
        <v>81</v>
      </c>
      <c r="K845" s="329">
        <v>8541</v>
      </c>
      <c r="L845" s="325" t="s">
        <v>3336</v>
      </c>
      <c r="M845" s="326" t="s">
        <v>2076</v>
      </c>
      <c r="N845" s="326"/>
      <c r="O845" s="330">
        <v>728783.71</v>
      </c>
      <c r="P845" s="330">
        <v>1346.32</v>
      </c>
      <c r="Q845" s="331">
        <v>8541</v>
      </c>
      <c r="R845" s="330">
        <v>250</v>
      </c>
      <c r="S845" s="330">
        <v>4</v>
      </c>
      <c r="T845" s="326" t="s">
        <v>170</v>
      </c>
      <c r="U845" s="326" t="s">
        <v>2040</v>
      </c>
      <c r="V845" s="332">
        <v>89230</v>
      </c>
      <c r="W845" s="333">
        <v>85123</v>
      </c>
    </row>
    <row r="846" spans="1:23" ht="45" customHeight="1" x14ac:dyDescent="0.4">
      <c r="A846" s="323">
        <v>813228</v>
      </c>
      <c r="B846" s="324" t="s">
        <v>5095</v>
      </c>
      <c r="C846" s="325" t="s">
        <v>3337</v>
      </c>
      <c r="D846" s="326" t="s">
        <v>2045</v>
      </c>
      <c r="E846" s="327" t="s">
        <v>1783</v>
      </c>
      <c r="F846" s="327" t="s">
        <v>3894</v>
      </c>
      <c r="G846" s="327" t="s">
        <v>1784</v>
      </c>
      <c r="H846" s="325" t="s">
        <v>2035</v>
      </c>
      <c r="I846" s="325" t="s">
        <v>2324</v>
      </c>
      <c r="J846" s="328">
        <v>81</v>
      </c>
      <c r="K846" s="329">
        <v>8132</v>
      </c>
      <c r="L846" s="325" t="s">
        <v>3338</v>
      </c>
      <c r="M846" s="326" t="s">
        <v>3339</v>
      </c>
      <c r="N846" s="326"/>
      <c r="O846" s="330">
        <v>806.99</v>
      </c>
      <c r="P846" s="330">
        <v>0.85</v>
      </c>
      <c r="Q846" s="331">
        <v>8132</v>
      </c>
      <c r="R846" s="330">
        <v>320000</v>
      </c>
      <c r="S846" s="330">
        <v>13000</v>
      </c>
      <c r="T846" s="326" t="s">
        <v>170</v>
      </c>
      <c r="U846" s="326" t="s">
        <v>2040</v>
      </c>
      <c r="V846" s="332">
        <v>81350</v>
      </c>
      <c r="W846" s="333">
        <v>81330</v>
      </c>
    </row>
    <row r="847" spans="1:23" ht="45" customHeight="1" x14ac:dyDescent="0.4">
      <c r="A847" s="323">
        <v>813231</v>
      </c>
      <c r="B847" s="324" t="s">
        <v>5096</v>
      </c>
      <c r="C847" s="325" t="s">
        <v>3340</v>
      </c>
      <c r="D847" s="326" t="s">
        <v>2045</v>
      </c>
      <c r="E847" s="327" t="s">
        <v>3758</v>
      </c>
      <c r="F847" s="327" t="s">
        <v>3894</v>
      </c>
      <c r="G847" s="327" t="s">
        <v>1785</v>
      </c>
      <c r="H847" s="325" t="s">
        <v>2035</v>
      </c>
      <c r="I847" s="325" t="s">
        <v>2324</v>
      </c>
      <c r="J847" s="328">
        <v>81</v>
      </c>
      <c r="K847" s="329">
        <v>8131</v>
      </c>
      <c r="L847" s="325" t="s">
        <v>3341</v>
      </c>
      <c r="M847" s="326" t="s">
        <v>3339</v>
      </c>
      <c r="N847" s="326"/>
      <c r="O847" s="330">
        <v>181.8</v>
      </c>
      <c r="P847" s="330">
        <v>21.88</v>
      </c>
      <c r="Q847" s="331">
        <v>8131</v>
      </c>
      <c r="R847" s="330">
        <v>100000</v>
      </c>
      <c r="S847" s="330">
        <v>2100</v>
      </c>
      <c r="T847" s="326" t="s">
        <v>170</v>
      </c>
      <c r="U847" s="326" t="s">
        <v>2040</v>
      </c>
      <c r="V847" s="332">
        <v>81320</v>
      </c>
      <c r="W847" s="333">
        <v>81320</v>
      </c>
    </row>
    <row r="848" spans="1:23" ht="45" customHeight="1" x14ac:dyDescent="0.4">
      <c r="A848" s="323">
        <v>813301</v>
      </c>
      <c r="B848" s="324" t="s">
        <v>5097</v>
      </c>
      <c r="C848" s="325" t="s">
        <v>3895</v>
      </c>
      <c r="D848" s="326" t="s">
        <v>2045</v>
      </c>
      <c r="E848" s="327" t="s">
        <v>5098</v>
      </c>
      <c r="F848" s="327" t="s">
        <v>3894</v>
      </c>
      <c r="G848" s="327" t="s">
        <v>383</v>
      </c>
      <c r="H848" s="325" t="e">
        <v>#N/A</v>
      </c>
      <c r="I848" s="325" t="e">
        <v>#N/A</v>
      </c>
      <c r="J848" s="328">
        <v>81</v>
      </c>
      <c r="K848" s="329">
        <v>8133</v>
      </c>
      <c r="L848" s="325" t="s">
        <v>3342</v>
      </c>
      <c r="M848" s="326" t="s">
        <v>3339</v>
      </c>
      <c r="N848" s="326"/>
      <c r="O848" s="330">
        <v>125.78</v>
      </c>
      <c r="P848" s="330">
        <v>8.5500000000000007</v>
      </c>
      <c r="Q848" s="331">
        <v>8133</v>
      </c>
      <c r="R848" s="330">
        <v>290000</v>
      </c>
      <c r="S848" s="330">
        <v>910</v>
      </c>
      <c r="T848" s="326" t="s">
        <v>170</v>
      </c>
      <c r="U848" s="326" t="s">
        <v>2040</v>
      </c>
      <c r="V848" s="332">
        <v>81360</v>
      </c>
      <c r="W848" s="333">
        <v>81212</v>
      </c>
    </row>
    <row r="849" spans="1:263" ht="45" customHeight="1" x14ac:dyDescent="0.4">
      <c r="A849" s="323">
        <v>813321</v>
      </c>
      <c r="B849" s="324" t="s">
        <v>5099</v>
      </c>
      <c r="C849" s="325" t="s">
        <v>1786</v>
      </c>
      <c r="D849" s="326" t="s">
        <v>2045</v>
      </c>
      <c r="E849" s="327" t="s">
        <v>1787</v>
      </c>
      <c r="F849" s="327" t="s">
        <v>3896</v>
      </c>
      <c r="G849" s="327" t="s">
        <v>383</v>
      </c>
      <c r="H849" s="325" t="e">
        <v>#N/A</v>
      </c>
      <c r="I849" s="325" t="e">
        <v>#N/A</v>
      </c>
      <c r="J849" s="328">
        <v>81</v>
      </c>
      <c r="K849" s="329">
        <v>8133</v>
      </c>
      <c r="L849" s="325" t="s">
        <v>3342</v>
      </c>
      <c r="M849" s="326" t="s">
        <v>3339</v>
      </c>
      <c r="N849" s="326"/>
      <c r="O849" s="330">
        <v>125.78</v>
      </c>
      <c r="P849" s="330">
        <v>8.5500000000000007</v>
      </c>
      <c r="Q849" s="331">
        <v>8133</v>
      </c>
      <c r="R849" s="330">
        <v>290000</v>
      </c>
      <c r="S849" s="330">
        <v>910</v>
      </c>
      <c r="T849" s="326" t="s">
        <v>170</v>
      </c>
      <c r="U849" s="326" t="s">
        <v>2040</v>
      </c>
      <c r="V849" s="332">
        <v>81360</v>
      </c>
      <c r="W849" s="333">
        <v>81212</v>
      </c>
    </row>
    <row r="850" spans="1:263" ht="45" customHeight="1" x14ac:dyDescent="0.4">
      <c r="A850" s="323">
        <v>813400</v>
      </c>
      <c r="B850" s="324" t="s">
        <v>3344</v>
      </c>
      <c r="C850" s="325" t="s">
        <v>3343</v>
      </c>
      <c r="D850" s="326" t="s">
        <v>2045</v>
      </c>
      <c r="E850" s="327" t="s">
        <v>1788</v>
      </c>
      <c r="F850" s="327"/>
      <c r="G850" s="327" t="s">
        <v>383</v>
      </c>
      <c r="H850" s="325" t="e">
        <v>#N/A</v>
      </c>
      <c r="I850" s="325" t="e">
        <v>#N/A</v>
      </c>
      <c r="J850" s="328">
        <v>81</v>
      </c>
      <c r="K850" s="329">
        <v>8134</v>
      </c>
      <c r="L850" s="325" t="s">
        <v>3344</v>
      </c>
      <c r="M850" s="326" t="s">
        <v>2076</v>
      </c>
      <c r="N850" s="326"/>
      <c r="O850" s="330">
        <v>3662.16</v>
      </c>
      <c r="P850" s="330">
        <v>1311.35</v>
      </c>
      <c r="Q850" s="331">
        <v>8134</v>
      </c>
      <c r="R850" s="330">
        <v>4</v>
      </c>
      <c r="S850" s="330">
        <v>1</v>
      </c>
      <c r="T850" s="326" t="s">
        <v>170</v>
      </c>
      <c r="U850" s="326" t="s">
        <v>2040</v>
      </c>
      <c r="V850" s="332">
        <v>89280</v>
      </c>
      <c r="W850" s="333">
        <v>81340</v>
      </c>
    </row>
    <row r="851" spans="1:263" ht="45" customHeight="1" x14ac:dyDescent="0.4">
      <c r="A851" s="323">
        <v>821111</v>
      </c>
      <c r="B851" s="324" t="s">
        <v>5100</v>
      </c>
      <c r="C851" s="325" t="s">
        <v>1789</v>
      </c>
      <c r="D851" s="326" t="s">
        <v>2034</v>
      </c>
      <c r="E851" s="327" t="s">
        <v>1790</v>
      </c>
      <c r="F851" s="327"/>
      <c r="G851" s="327" t="s">
        <v>1791</v>
      </c>
      <c r="H851" s="325" t="s">
        <v>2035</v>
      </c>
      <c r="I851" s="325" t="s">
        <v>2324</v>
      </c>
      <c r="J851" s="328">
        <v>85</v>
      </c>
      <c r="K851" s="329">
        <v>8526</v>
      </c>
      <c r="L851" s="325" t="s">
        <v>2161</v>
      </c>
      <c r="M851" s="326" t="s">
        <v>2038</v>
      </c>
      <c r="N851" s="326"/>
      <c r="O851" s="330">
        <v>76.33</v>
      </c>
      <c r="P851" s="330">
        <v>1.8</v>
      </c>
      <c r="Q851" s="331">
        <v>8526</v>
      </c>
      <c r="R851" s="330">
        <v>160000</v>
      </c>
      <c r="S851" s="330">
        <v>530</v>
      </c>
      <c r="T851" s="326" t="s">
        <v>170</v>
      </c>
      <c r="U851" s="326" t="s">
        <v>2040</v>
      </c>
      <c r="V851" s="332" t="s">
        <v>228</v>
      </c>
      <c r="W851" s="333" t="s">
        <v>3345</v>
      </c>
    </row>
    <row r="852" spans="1:263" ht="45" customHeight="1" x14ac:dyDescent="0.4">
      <c r="A852" s="323">
        <v>821112</v>
      </c>
      <c r="B852" s="324" t="s">
        <v>5101</v>
      </c>
      <c r="C852" s="325" t="s">
        <v>3346</v>
      </c>
      <c r="D852" s="326" t="s">
        <v>2045</v>
      </c>
      <c r="E852" s="327" t="s">
        <v>1792</v>
      </c>
      <c r="F852" s="327" t="s">
        <v>3776</v>
      </c>
      <c r="G852" s="327" t="s">
        <v>1793</v>
      </c>
      <c r="H852" s="325" t="s">
        <v>2035</v>
      </c>
      <c r="I852" s="325" t="s">
        <v>2324</v>
      </c>
      <c r="J852" s="328">
        <v>12</v>
      </c>
      <c r="K852" s="329">
        <v>1244</v>
      </c>
      <c r="L852" s="325" t="s">
        <v>2108</v>
      </c>
      <c r="M852" s="326" t="s">
        <v>2101</v>
      </c>
      <c r="N852" s="326"/>
      <c r="O852" s="330">
        <v>10.96</v>
      </c>
      <c r="P852" s="330">
        <v>2.57</v>
      </c>
      <c r="Q852" s="331">
        <v>1244</v>
      </c>
      <c r="R852" s="330">
        <v>430000</v>
      </c>
      <c r="S852" s="330">
        <v>7800</v>
      </c>
      <c r="T852" s="326" t="s">
        <v>170</v>
      </c>
      <c r="U852" s="326" t="s">
        <v>2040</v>
      </c>
      <c r="V852" s="332">
        <v>12470</v>
      </c>
      <c r="W852" s="333" t="s">
        <v>3347</v>
      </c>
    </row>
    <row r="853" spans="1:263" ht="45" customHeight="1" x14ac:dyDescent="0.4">
      <c r="A853" s="323">
        <v>821113</v>
      </c>
      <c r="B853" s="324" t="s">
        <v>5102</v>
      </c>
      <c r="C853" s="325" t="s">
        <v>3348</v>
      </c>
      <c r="D853" s="326" t="s">
        <v>2084</v>
      </c>
      <c r="E853" s="327" t="s">
        <v>1794</v>
      </c>
      <c r="F853" s="327"/>
      <c r="G853" s="327" t="s">
        <v>1795</v>
      </c>
      <c r="H853" s="325" t="s">
        <v>2035</v>
      </c>
      <c r="I853" s="325" t="s">
        <v>2324</v>
      </c>
      <c r="J853" s="328">
        <v>89</v>
      </c>
      <c r="K853" s="329">
        <v>8910</v>
      </c>
      <c r="L853" s="325" t="s">
        <v>3319</v>
      </c>
      <c r="M853" s="326" t="s">
        <v>226</v>
      </c>
      <c r="N853" s="326"/>
      <c r="O853" s="330">
        <v>265.08</v>
      </c>
      <c r="P853" s="330">
        <v>7.01</v>
      </c>
      <c r="Q853" s="331">
        <v>8910</v>
      </c>
      <c r="R853" s="330">
        <v>150000</v>
      </c>
      <c r="S853" s="330">
        <v>1300</v>
      </c>
      <c r="T853" s="326" t="s">
        <v>170</v>
      </c>
      <c r="U853" s="326" t="s">
        <v>2040</v>
      </c>
      <c r="V853" s="332">
        <v>89121</v>
      </c>
      <c r="W853" s="333">
        <v>82109</v>
      </c>
    </row>
    <row r="854" spans="1:263" ht="45" customHeight="1" x14ac:dyDescent="0.4">
      <c r="A854" s="323">
        <v>821115</v>
      </c>
      <c r="B854" s="324" t="s">
        <v>5103</v>
      </c>
      <c r="C854" s="325" t="s">
        <v>3349</v>
      </c>
      <c r="D854" s="326" t="s">
        <v>2045</v>
      </c>
      <c r="E854" s="327" t="s">
        <v>1796</v>
      </c>
      <c r="F854" s="327"/>
      <c r="G854" s="327" t="s">
        <v>1797</v>
      </c>
      <c r="H854" s="325" t="s">
        <v>2035</v>
      </c>
      <c r="I854" s="325" t="s">
        <v>2324</v>
      </c>
      <c r="J854" s="328">
        <v>82</v>
      </c>
      <c r="K854" s="329">
        <v>8211</v>
      </c>
      <c r="L854" s="325" t="s">
        <v>3897</v>
      </c>
      <c r="M854" s="326" t="s">
        <v>3350</v>
      </c>
      <c r="N854" s="326"/>
      <c r="O854" s="330">
        <v>0.02</v>
      </c>
      <c r="P854" s="330">
        <v>0</v>
      </c>
      <c r="Q854" s="331">
        <v>8211</v>
      </c>
      <c r="R854" s="330">
        <v>520000000</v>
      </c>
      <c r="S854" s="330">
        <v>50000000</v>
      </c>
      <c r="T854" s="326" t="s">
        <v>170</v>
      </c>
      <c r="U854" s="326" t="s">
        <v>2040</v>
      </c>
      <c r="V854" s="332" t="s">
        <v>3351</v>
      </c>
      <c r="W854" s="333" t="s">
        <v>3352</v>
      </c>
    </row>
    <row r="855" spans="1:263" ht="45" customHeight="1" x14ac:dyDescent="0.4">
      <c r="A855" s="323">
        <v>821117</v>
      </c>
      <c r="B855" s="324" t="s">
        <v>5104</v>
      </c>
      <c r="C855" s="325" t="s">
        <v>3353</v>
      </c>
      <c r="D855" s="326" t="s">
        <v>2084</v>
      </c>
      <c r="E855" s="327" t="s">
        <v>1798</v>
      </c>
      <c r="F855" s="327"/>
      <c r="G855" s="327" t="s">
        <v>1799</v>
      </c>
      <c r="H855" s="325" t="s">
        <v>2035</v>
      </c>
      <c r="I855" s="325" t="s">
        <v>2324</v>
      </c>
      <c r="J855" s="328">
        <v>89</v>
      </c>
      <c r="K855" s="329">
        <v>8910</v>
      </c>
      <c r="L855" s="325" t="s">
        <v>3319</v>
      </c>
      <c r="M855" s="326" t="s">
        <v>226</v>
      </c>
      <c r="N855" s="326"/>
      <c r="O855" s="330">
        <v>265.08</v>
      </c>
      <c r="P855" s="330">
        <v>7.01</v>
      </c>
      <c r="Q855" s="331">
        <v>8910</v>
      </c>
      <c r="R855" s="330">
        <v>150000</v>
      </c>
      <c r="S855" s="330">
        <v>1300</v>
      </c>
      <c r="T855" s="326" t="s">
        <v>170</v>
      </c>
      <c r="U855" s="326" t="s">
        <v>2040</v>
      </c>
      <c r="V855" s="332">
        <v>89121</v>
      </c>
      <c r="W855" s="333">
        <v>82209</v>
      </c>
    </row>
    <row r="856" spans="1:263" ht="45" customHeight="1" x14ac:dyDescent="0.4">
      <c r="A856" s="323">
        <v>821155</v>
      </c>
      <c r="B856" s="324" t="s">
        <v>5105</v>
      </c>
      <c r="C856" s="325" t="s">
        <v>3354</v>
      </c>
      <c r="D856" s="326" t="s">
        <v>2045</v>
      </c>
      <c r="E856" s="327" t="s">
        <v>1800</v>
      </c>
      <c r="F856" s="327"/>
      <c r="G856" s="327" t="s">
        <v>1801</v>
      </c>
      <c r="H856" s="325" t="s">
        <v>2035</v>
      </c>
      <c r="I856" s="325" t="s">
        <v>2324</v>
      </c>
      <c r="J856" s="328">
        <v>82</v>
      </c>
      <c r="K856" s="329">
        <v>8211</v>
      </c>
      <c r="L856" s="325" t="s">
        <v>3897</v>
      </c>
      <c r="M856" s="326" t="s">
        <v>3350</v>
      </c>
      <c r="N856" s="326"/>
      <c r="O856" s="330">
        <v>0.02</v>
      </c>
      <c r="P856" s="330">
        <v>0</v>
      </c>
      <c r="Q856" s="331">
        <v>8211</v>
      </c>
      <c r="R856" s="330">
        <v>520000000</v>
      </c>
      <c r="S856" s="330">
        <v>50000000</v>
      </c>
      <c r="T856" s="326" t="s">
        <v>170</v>
      </c>
      <c r="U856" s="326" t="s">
        <v>2040</v>
      </c>
      <c r="V856" s="332">
        <v>82150</v>
      </c>
      <c r="W856" s="333" t="s">
        <v>3355</v>
      </c>
    </row>
    <row r="857" spans="1:263" ht="45" customHeight="1" x14ac:dyDescent="0.4">
      <c r="A857" s="323">
        <v>821156</v>
      </c>
      <c r="B857" s="324" t="s">
        <v>5106</v>
      </c>
      <c r="C857" s="325" t="s">
        <v>3356</v>
      </c>
      <c r="D857" s="326" t="s">
        <v>2084</v>
      </c>
      <c r="E857" s="327" t="s">
        <v>5107</v>
      </c>
      <c r="F857" s="327"/>
      <c r="G857" s="327" t="s">
        <v>1802</v>
      </c>
      <c r="H857" s="325" t="s">
        <v>2035</v>
      </c>
      <c r="I857" s="325" t="s">
        <v>2324</v>
      </c>
      <c r="J857" s="328">
        <v>89</v>
      </c>
      <c r="K857" s="329">
        <v>8910</v>
      </c>
      <c r="L857" s="325" t="s">
        <v>3319</v>
      </c>
      <c r="M857" s="326" t="s">
        <v>226</v>
      </c>
      <c r="N857" s="326"/>
      <c r="O857" s="330">
        <v>265.08</v>
      </c>
      <c r="P857" s="330">
        <v>7.01</v>
      </c>
      <c r="Q857" s="331">
        <v>8910</v>
      </c>
      <c r="R857" s="330">
        <v>150000</v>
      </c>
      <c r="S857" s="330">
        <v>1300</v>
      </c>
      <c r="T857" s="326" t="s">
        <v>170</v>
      </c>
      <c r="U857" s="326" t="s">
        <v>2040</v>
      </c>
      <c r="V857" s="332" t="s">
        <v>228</v>
      </c>
      <c r="W857" s="333">
        <v>82209</v>
      </c>
    </row>
    <row r="858" spans="1:263" ht="45" customHeight="1" x14ac:dyDescent="0.4">
      <c r="A858" s="323">
        <v>821157</v>
      </c>
      <c r="B858" s="324" t="s">
        <v>5108</v>
      </c>
      <c r="C858" s="325" t="s">
        <v>3357</v>
      </c>
      <c r="D858" s="326" t="s">
        <v>2045</v>
      </c>
      <c r="E858" s="327" t="s">
        <v>5109</v>
      </c>
      <c r="F858" s="327"/>
      <c r="G858" s="327" t="s">
        <v>383</v>
      </c>
      <c r="H858" s="325" t="e">
        <v>#N/A</v>
      </c>
      <c r="I858" s="325" t="e">
        <v>#N/A</v>
      </c>
      <c r="J858" s="328">
        <v>82</v>
      </c>
      <c r="K858" s="329">
        <v>8211</v>
      </c>
      <c r="L858" s="325" t="s">
        <v>3897</v>
      </c>
      <c r="M858" s="326" t="s">
        <v>3350</v>
      </c>
      <c r="N858" s="326"/>
      <c r="O858" s="330">
        <v>0.02</v>
      </c>
      <c r="P858" s="330">
        <v>0</v>
      </c>
      <c r="Q858" s="331">
        <v>8211</v>
      </c>
      <c r="R858" s="330">
        <v>520000000</v>
      </c>
      <c r="S858" s="330">
        <v>50000000</v>
      </c>
      <c r="T858" s="326" t="s">
        <v>170</v>
      </c>
      <c r="U858" s="326" t="s">
        <v>2040</v>
      </c>
      <c r="V858" s="332"/>
      <c r="W858" s="333"/>
    </row>
    <row r="859" spans="1:263" ht="45" customHeight="1" x14ac:dyDescent="0.4">
      <c r="A859" s="323">
        <v>822245</v>
      </c>
      <c r="B859" s="324" t="s">
        <v>5110</v>
      </c>
      <c r="C859" s="325" t="s">
        <v>3358</v>
      </c>
      <c r="D859" s="326" t="s">
        <v>2034</v>
      </c>
      <c r="E859" s="327" t="s">
        <v>1803</v>
      </c>
      <c r="F859" s="327"/>
      <c r="G859" s="327" t="s">
        <v>1804</v>
      </c>
      <c r="H859" s="325" t="s">
        <v>2035</v>
      </c>
      <c r="I859" s="325" t="s">
        <v>2324</v>
      </c>
      <c r="J859" s="328">
        <v>82</v>
      </c>
      <c r="K859" s="329">
        <v>8221</v>
      </c>
      <c r="L859" s="325" t="s">
        <v>3359</v>
      </c>
      <c r="M859" s="326" t="s">
        <v>2039</v>
      </c>
      <c r="N859" s="326"/>
      <c r="O859" s="330">
        <v>1087.74</v>
      </c>
      <c r="P859" s="330">
        <v>4.03</v>
      </c>
      <c r="Q859" s="331">
        <v>8221</v>
      </c>
      <c r="R859" s="330">
        <v>190000</v>
      </c>
      <c r="S859" s="330">
        <v>8400</v>
      </c>
      <c r="T859" s="326" t="s">
        <v>170</v>
      </c>
      <c r="U859" s="326" t="s">
        <v>2040</v>
      </c>
      <c r="V859" s="332" t="s">
        <v>3360</v>
      </c>
      <c r="W859" s="333" t="s">
        <v>3361</v>
      </c>
    </row>
    <row r="860" spans="1:263" ht="45" customHeight="1" x14ac:dyDescent="0.4">
      <c r="A860" s="323">
        <v>822248</v>
      </c>
      <c r="B860" s="324" t="s">
        <v>5111</v>
      </c>
      <c r="C860" s="325" t="s">
        <v>3362</v>
      </c>
      <c r="D860" s="326" t="s">
        <v>2045</v>
      </c>
      <c r="E860" s="327" t="s">
        <v>1805</v>
      </c>
      <c r="F860" s="327"/>
      <c r="G860" s="327" t="s">
        <v>1806</v>
      </c>
      <c r="H860" s="325" t="s">
        <v>2035</v>
      </c>
      <c r="I860" s="325" t="s">
        <v>2324</v>
      </c>
      <c r="J860" s="328">
        <v>89</v>
      </c>
      <c r="K860" s="329">
        <v>8924</v>
      </c>
      <c r="L860" s="325" t="s">
        <v>3363</v>
      </c>
      <c r="M860" s="326" t="s">
        <v>2076</v>
      </c>
      <c r="N860" s="326"/>
      <c r="O860" s="330">
        <v>15600.1</v>
      </c>
      <c r="P860" s="330">
        <v>950.51</v>
      </c>
      <c r="Q860" s="331">
        <v>8924</v>
      </c>
      <c r="R860" s="330">
        <v>1</v>
      </c>
      <c r="S860" s="330">
        <v>1</v>
      </c>
      <c r="T860" s="326" t="s">
        <v>170</v>
      </c>
      <c r="U860" s="326" t="s">
        <v>2040</v>
      </c>
      <c r="V860" s="332" t="s">
        <v>228</v>
      </c>
      <c r="W860" s="333" t="s">
        <v>228</v>
      </c>
    </row>
    <row r="861" spans="1:263" ht="45" customHeight="1" x14ac:dyDescent="0.4">
      <c r="A861" s="323">
        <v>822265</v>
      </c>
      <c r="B861" s="324" t="s">
        <v>5112</v>
      </c>
      <c r="C861" s="325" t="s">
        <v>3364</v>
      </c>
      <c r="D861" s="326" t="s">
        <v>2034</v>
      </c>
      <c r="E861" s="327" t="s">
        <v>1807</v>
      </c>
      <c r="F861" s="327"/>
      <c r="G861" s="327" t="s">
        <v>1808</v>
      </c>
      <c r="H861" s="325" t="s">
        <v>2035</v>
      </c>
      <c r="I861" s="325" t="s">
        <v>2324</v>
      </c>
      <c r="J861" s="328">
        <v>82</v>
      </c>
      <c r="K861" s="329">
        <v>8221</v>
      </c>
      <c r="L861" s="325" t="s">
        <v>3359</v>
      </c>
      <c r="M861" s="326" t="s">
        <v>2039</v>
      </c>
      <c r="N861" s="326"/>
      <c r="O861" s="330">
        <v>1087.74</v>
      </c>
      <c r="P861" s="330">
        <v>4.03</v>
      </c>
      <c r="Q861" s="331">
        <v>8221</v>
      </c>
      <c r="R861" s="330">
        <v>190000</v>
      </c>
      <c r="S861" s="330">
        <v>8400</v>
      </c>
      <c r="T861" s="326" t="s">
        <v>170</v>
      </c>
      <c r="U861" s="326" t="s">
        <v>2040</v>
      </c>
      <c r="V861" s="332" t="s">
        <v>3365</v>
      </c>
      <c r="W861" s="333">
        <v>82212</v>
      </c>
      <c r="X861" s="322"/>
      <c r="Y861" s="322"/>
      <c r="Z861" s="322"/>
      <c r="AA861" s="322"/>
      <c r="AB861" s="322"/>
      <c r="AC861" s="322"/>
      <c r="AD861" s="322"/>
      <c r="AE861" s="322"/>
      <c r="AF861" s="322"/>
      <c r="AG861" s="322"/>
      <c r="AH861" s="322"/>
      <c r="AI861" s="322"/>
      <c r="AJ861" s="322"/>
      <c r="AK861" s="322"/>
      <c r="AL861" s="322"/>
      <c r="AM861" s="322"/>
      <c r="AN861" s="322"/>
      <c r="AO861" s="322"/>
      <c r="AP861" s="322"/>
      <c r="AQ861" s="322"/>
      <c r="AR861" s="322"/>
      <c r="AS861" s="322"/>
      <c r="AT861" s="322"/>
      <c r="AU861" s="322"/>
      <c r="AV861" s="322"/>
      <c r="AW861" s="322"/>
      <c r="AX861" s="322"/>
      <c r="AY861" s="322"/>
      <c r="AZ861" s="322"/>
      <c r="BA861" s="322"/>
      <c r="BB861" s="322"/>
      <c r="BC861" s="322"/>
      <c r="BD861" s="322"/>
      <c r="BE861" s="322"/>
      <c r="BF861" s="322"/>
      <c r="BG861" s="322"/>
      <c r="BH861" s="322"/>
      <c r="BI861" s="322"/>
      <c r="BJ861" s="322"/>
      <c r="BK861" s="322"/>
      <c r="BL861" s="322"/>
      <c r="BM861" s="322"/>
      <c r="BN861" s="322"/>
      <c r="BO861" s="322"/>
      <c r="BP861" s="322"/>
      <c r="BQ861" s="322"/>
      <c r="BR861" s="322"/>
      <c r="BS861" s="322"/>
      <c r="BT861" s="322"/>
      <c r="BU861" s="322"/>
      <c r="BV861" s="322"/>
      <c r="BW861" s="322"/>
      <c r="BX861" s="322"/>
      <c r="BY861" s="322"/>
      <c r="BZ861" s="322"/>
      <c r="CA861" s="322"/>
      <c r="CB861" s="322"/>
      <c r="CC861" s="322"/>
      <c r="CD861" s="322"/>
      <c r="CE861" s="322"/>
      <c r="CF861" s="322"/>
      <c r="CG861" s="322"/>
      <c r="CH861" s="322"/>
      <c r="CI861" s="322"/>
      <c r="CJ861" s="322"/>
      <c r="CK861" s="322"/>
      <c r="CL861" s="322"/>
      <c r="CM861" s="322"/>
      <c r="CN861" s="322"/>
      <c r="CO861" s="322"/>
      <c r="CP861" s="322"/>
      <c r="CQ861" s="322"/>
      <c r="CR861" s="322"/>
      <c r="CS861" s="322"/>
      <c r="CT861" s="322"/>
      <c r="CU861" s="322"/>
      <c r="CV861" s="322"/>
      <c r="CW861" s="322"/>
      <c r="CX861" s="322"/>
      <c r="CY861" s="322"/>
      <c r="CZ861" s="322"/>
      <c r="DA861" s="322"/>
      <c r="DB861" s="322"/>
      <c r="DC861" s="322"/>
      <c r="DD861" s="322"/>
      <c r="DE861" s="322"/>
      <c r="DF861" s="322"/>
      <c r="DG861" s="322"/>
      <c r="DH861" s="322"/>
      <c r="DI861" s="322"/>
      <c r="DJ861" s="322"/>
      <c r="DK861" s="322"/>
      <c r="DL861" s="322"/>
      <c r="DM861" s="322"/>
      <c r="DN861" s="322"/>
      <c r="DO861" s="322"/>
      <c r="DP861" s="322"/>
      <c r="DQ861" s="322"/>
      <c r="DR861" s="322"/>
      <c r="DS861" s="322"/>
      <c r="DT861" s="322"/>
      <c r="DU861" s="322"/>
      <c r="DV861" s="322"/>
      <c r="DW861" s="322"/>
      <c r="DX861" s="322"/>
      <c r="DY861" s="322"/>
      <c r="DZ861" s="322"/>
      <c r="EA861" s="322"/>
      <c r="EB861" s="322"/>
      <c r="EC861" s="322"/>
      <c r="ED861" s="322"/>
      <c r="EE861" s="322"/>
      <c r="EF861" s="322"/>
      <c r="EG861" s="322"/>
      <c r="EH861" s="322"/>
      <c r="EI861" s="322"/>
      <c r="EJ861" s="322"/>
      <c r="EK861" s="322"/>
      <c r="EL861" s="322"/>
      <c r="EM861" s="322"/>
      <c r="EN861" s="322"/>
      <c r="EO861" s="322"/>
      <c r="EP861" s="322"/>
      <c r="EQ861" s="322"/>
      <c r="ER861" s="322"/>
      <c r="ES861" s="322"/>
      <c r="ET861" s="322"/>
      <c r="EU861" s="322"/>
      <c r="EV861" s="322"/>
      <c r="EW861" s="322"/>
      <c r="EX861" s="322"/>
      <c r="EY861" s="322"/>
      <c r="EZ861" s="322"/>
      <c r="FA861" s="322"/>
      <c r="FB861" s="322"/>
      <c r="FC861" s="322"/>
      <c r="FD861" s="322"/>
      <c r="FE861" s="322"/>
      <c r="FF861" s="322"/>
      <c r="FG861" s="322"/>
      <c r="FH861" s="322"/>
      <c r="FI861" s="322"/>
      <c r="FJ861" s="322"/>
      <c r="FK861" s="322"/>
      <c r="FL861" s="322"/>
      <c r="FM861" s="322"/>
      <c r="FN861" s="322"/>
      <c r="FO861" s="322"/>
      <c r="FP861" s="322"/>
      <c r="FQ861" s="322"/>
      <c r="FR861" s="322"/>
      <c r="FS861" s="322"/>
      <c r="FT861" s="322"/>
      <c r="FU861" s="322"/>
      <c r="FV861" s="322"/>
      <c r="FW861" s="322"/>
      <c r="FX861" s="322"/>
      <c r="FY861" s="322"/>
      <c r="FZ861" s="322"/>
      <c r="GA861" s="322"/>
      <c r="GB861" s="322"/>
      <c r="GC861" s="322"/>
      <c r="GD861" s="322"/>
      <c r="GE861" s="322"/>
      <c r="GF861" s="322"/>
      <c r="GG861" s="322"/>
      <c r="GH861" s="322"/>
      <c r="GI861" s="322"/>
      <c r="GJ861" s="322"/>
      <c r="GK861" s="322"/>
      <c r="GL861" s="322"/>
      <c r="GM861" s="322"/>
      <c r="GN861" s="322"/>
      <c r="GO861" s="322"/>
      <c r="GP861" s="322"/>
      <c r="GQ861" s="322"/>
      <c r="GR861" s="322"/>
      <c r="GS861" s="322"/>
      <c r="GT861" s="322"/>
      <c r="GU861" s="322"/>
      <c r="GV861" s="322"/>
      <c r="GW861" s="322"/>
      <c r="GX861" s="322"/>
      <c r="GY861" s="322"/>
      <c r="GZ861" s="322"/>
      <c r="HA861" s="322"/>
      <c r="HB861" s="322"/>
      <c r="HC861" s="322"/>
      <c r="HD861" s="322"/>
      <c r="HE861" s="322"/>
      <c r="HF861" s="322"/>
      <c r="HG861" s="322"/>
      <c r="HH861" s="322"/>
      <c r="HI861" s="322"/>
      <c r="HJ861" s="322"/>
      <c r="HK861" s="322"/>
      <c r="HL861" s="322"/>
      <c r="HM861" s="322"/>
      <c r="HN861" s="322"/>
      <c r="HO861" s="322"/>
      <c r="HP861" s="322"/>
      <c r="HQ861" s="322"/>
      <c r="HR861" s="322"/>
      <c r="HS861" s="322"/>
      <c r="HT861" s="322"/>
      <c r="HU861" s="322"/>
      <c r="HV861" s="322"/>
      <c r="HW861" s="322"/>
      <c r="HX861" s="322"/>
      <c r="HY861" s="322"/>
      <c r="HZ861" s="322"/>
      <c r="IA861" s="322"/>
      <c r="IB861" s="322"/>
      <c r="IC861" s="322"/>
      <c r="ID861" s="322"/>
      <c r="IE861" s="322"/>
      <c r="IF861" s="322"/>
      <c r="IG861" s="322"/>
      <c r="IH861" s="322"/>
      <c r="II861" s="322"/>
      <c r="IJ861" s="322"/>
      <c r="IK861" s="322"/>
      <c r="IL861" s="322"/>
      <c r="IM861" s="322"/>
      <c r="IN861" s="322"/>
      <c r="IO861" s="322"/>
      <c r="IP861" s="322"/>
      <c r="IQ861" s="322"/>
      <c r="IR861" s="322"/>
      <c r="IS861" s="322"/>
      <c r="IT861" s="322"/>
      <c r="IU861" s="322"/>
      <c r="IV861" s="322"/>
      <c r="IW861" s="322"/>
      <c r="IX861" s="322"/>
      <c r="IY861" s="322"/>
      <c r="IZ861" s="322"/>
      <c r="JA861" s="322"/>
      <c r="JB861" s="322"/>
      <c r="JC861" s="322"/>
    </row>
    <row r="862" spans="1:263" ht="45" customHeight="1" x14ac:dyDescent="0.4">
      <c r="A862" s="323">
        <v>822268</v>
      </c>
      <c r="B862" s="324" t="s">
        <v>5113</v>
      </c>
      <c r="C862" s="325" t="s">
        <v>3366</v>
      </c>
      <c r="D862" s="326" t="s">
        <v>2045</v>
      </c>
      <c r="E862" s="327" t="s">
        <v>1809</v>
      </c>
      <c r="F862" s="327"/>
      <c r="G862" s="327" t="s">
        <v>1810</v>
      </c>
      <c r="H862" s="325" t="s">
        <v>2035</v>
      </c>
      <c r="I862" s="325" t="s">
        <v>2324</v>
      </c>
      <c r="J862" s="328">
        <v>89</v>
      </c>
      <c r="K862" s="329">
        <v>8924</v>
      </c>
      <c r="L862" s="325" t="s">
        <v>3363</v>
      </c>
      <c r="M862" s="326" t="s">
        <v>2076</v>
      </c>
      <c r="N862" s="326"/>
      <c r="O862" s="330">
        <v>15600.1</v>
      </c>
      <c r="P862" s="330">
        <v>950.51</v>
      </c>
      <c r="Q862" s="331">
        <v>8924</v>
      </c>
      <c r="R862" s="330">
        <v>1</v>
      </c>
      <c r="S862" s="330">
        <v>1</v>
      </c>
      <c r="T862" s="326" t="s">
        <v>170</v>
      </c>
      <c r="U862" s="326" t="s">
        <v>2040</v>
      </c>
      <c r="V862" s="332" t="s">
        <v>228</v>
      </c>
      <c r="W862" s="333">
        <v>82210</v>
      </c>
    </row>
    <row r="863" spans="1:263" ht="45" customHeight="1" x14ac:dyDescent="0.4">
      <c r="A863" s="323">
        <v>823111</v>
      </c>
      <c r="B863" s="324" t="s">
        <v>5114</v>
      </c>
      <c r="C863" s="325" t="s">
        <v>3367</v>
      </c>
      <c r="D863" s="326" t="s">
        <v>2045</v>
      </c>
      <c r="E863" s="327" t="s">
        <v>1811</v>
      </c>
      <c r="F863" s="327"/>
      <c r="G863" s="327" t="s">
        <v>1812</v>
      </c>
      <c r="H863" s="325" t="s">
        <v>2035</v>
      </c>
      <c r="I863" s="325" t="s">
        <v>2324</v>
      </c>
      <c r="J863" s="328">
        <v>82</v>
      </c>
      <c r="K863" s="329">
        <v>8231</v>
      </c>
      <c r="L863" s="325" t="s">
        <v>3368</v>
      </c>
      <c r="M863" s="326" t="s">
        <v>3350</v>
      </c>
      <c r="N863" s="326"/>
      <c r="O863" s="330">
        <v>0.01</v>
      </c>
      <c r="P863" s="330">
        <v>0</v>
      </c>
      <c r="Q863" s="331">
        <v>8231</v>
      </c>
      <c r="R863" s="330">
        <v>150000000</v>
      </c>
      <c r="S863" s="330">
        <v>62000000</v>
      </c>
      <c r="T863" s="326" t="s">
        <v>170</v>
      </c>
      <c r="U863" s="326" t="s">
        <v>2040</v>
      </c>
      <c r="V863" s="332">
        <v>82310</v>
      </c>
      <c r="W863" s="333">
        <v>82310</v>
      </c>
    </row>
    <row r="864" spans="1:263" ht="45" customHeight="1" x14ac:dyDescent="0.4">
      <c r="A864" s="323">
        <v>823243</v>
      </c>
      <c r="B864" s="324" t="s">
        <v>5115</v>
      </c>
      <c r="C864" s="325" t="s">
        <v>3369</v>
      </c>
      <c r="D864" s="326" t="s">
        <v>2084</v>
      </c>
      <c r="E864" s="327" t="s">
        <v>1813</v>
      </c>
      <c r="F864" s="327"/>
      <c r="G864" s="327" t="s">
        <v>1814</v>
      </c>
      <c r="H864" s="325" t="s">
        <v>2035</v>
      </c>
      <c r="I864" s="325" t="s">
        <v>2324</v>
      </c>
      <c r="J864" s="328">
        <v>89</v>
      </c>
      <c r="K864" s="329">
        <v>8910</v>
      </c>
      <c r="L864" s="325" t="s">
        <v>3319</v>
      </c>
      <c r="M864" s="326" t="s">
        <v>226</v>
      </c>
      <c r="N864" s="326"/>
      <c r="O864" s="330">
        <v>265.08</v>
      </c>
      <c r="P864" s="330">
        <v>7.01</v>
      </c>
      <c r="Q864" s="331">
        <v>8910</v>
      </c>
      <c r="R864" s="330">
        <v>150000</v>
      </c>
      <c r="S864" s="330">
        <v>1300</v>
      </c>
      <c r="T864" s="326" t="s">
        <v>170</v>
      </c>
      <c r="U864" s="326" t="s">
        <v>2040</v>
      </c>
      <c r="V864" s="332" t="s">
        <v>228</v>
      </c>
      <c r="W864" s="333" t="s">
        <v>228</v>
      </c>
    </row>
    <row r="865" spans="1:23" ht="45" customHeight="1" x14ac:dyDescent="0.4">
      <c r="A865" s="323">
        <v>823244</v>
      </c>
      <c r="B865" s="324" t="s">
        <v>5116</v>
      </c>
      <c r="C865" s="325" t="s">
        <v>3370</v>
      </c>
      <c r="D865" s="326" t="s">
        <v>2045</v>
      </c>
      <c r="E865" s="327" t="s">
        <v>1815</v>
      </c>
      <c r="F865" s="327"/>
      <c r="G865" s="327" t="s">
        <v>1816</v>
      </c>
      <c r="H865" s="325" t="s">
        <v>2035</v>
      </c>
      <c r="I865" s="325" t="s">
        <v>2324</v>
      </c>
      <c r="J865" s="328">
        <v>82</v>
      </c>
      <c r="K865" s="329">
        <v>8232</v>
      </c>
      <c r="L865" s="325" t="s">
        <v>3371</v>
      </c>
      <c r="M865" s="326" t="s">
        <v>2076</v>
      </c>
      <c r="N865" s="326"/>
      <c r="O865" s="330">
        <v>139766.69</v>
      </c>
      <c r="P865" s="330">
        <v>556.47</v>
      </c>
      <c r="Q865" s="331">
        <v>8232</v>
      </c>
      <c r="R865" s="330">
        <v>1</v>
      </c>
      <c r="S865" s="330">
        <v>1</v>
      </c>
      <c r="T865" s="326" t="s">
        <v>170</v>
      </c>
      <c r="U865" s="326" t="s">
        <v>2040</v>
      </c>
      <c r="V865" s="332" t="s">
        <v>228</v>
      </c>
      <c r="W865" s="333">
        <v>82320</v>
      </c>
    </row>
    <row r="866" spans="1:23" ht="45" customHeight="1" x14ac:dyDescent="0.4">
      <c r="A866" s="323">
        <v>823248</v>
      </c>
      <c r="B866" s="324" t="s">
        <v>5117</v>
      </c>
      <c r="C866" s="325" t="s">
        <v>3372</v>
      </c>
      <c r="D866" s="326" t="s">
        <v>2084</v>
      </c>
      <c r="E866" s="327" t="s">
        <v>1817</v>
      </c>
      <c r="F866" s="327"/>
      <c r="G866" s="327" t="s">
        <v>1818</v>
      </c>
      <c r="H866" s="325" t="s">
        <v>2035</v>
      </c>
      <c r="I866" s="325" t="s">
        <v>2324</v>
      </c>
      <c r="J866" s="328">
        <v>89</v>
      </c>
      <c r="K866" s="329">
        <v>8910</v>
      </c>
      <c r="L866" s="325" t="s">
        <v>3319</v>
      </c>
      <c r="M866" s="326" t="s">
        <v>226</v>
      </c>
      <c r="N866" s="326"/>
      <c r="O866" s="330">
        <v>265.08</v>
      </c>
      <c r="P866" s="330">
        <v>7.01</v>
      </c>
      <c r="Q866" s="331">
        <v>8910</v>
      </c>
      <c r="R866" s="330">
        <v>150000</v>
      </c>
      <c r="S866" s="330">
        <v>1300</v>
      </c>
      <c r="T866" s="326" t="s">
        <v>170</v>
      </c>
      <c r="U866" s="326" t="s">
        <v>2040</v>
      </c>
      <c r="V866" s="332" t="s">
        <v>228</v>
      </c>
      <c r="W866" s="333" t="s">
        <v>228</v>
      </c>
    </row>
    <row r="867" spans="1:23" ht="45" customHeight="1" x14ac:dyDescent="0.4">
      <c r="A867" s="323">
        <v>824462</v>
      </c>
      <c r="B867" s="324" t="s">
        <v>5118</v>
      </c>
      <c r="C867" s="325" t="s">
        <v>3373</v>
      </c>
      <c r="D867" s="326" t="s">
        <v>2084</v>
      </c>
      <c r="E867" s="327" t="s">
        <v>1819</v>
      </c>
      <c r="F867" s="327"/>
      <c r="G867" s="327" t="s">
        <v>1820</v>
      </c>
      <c r="H867" s="325" t="s">
        <v>2035</v>
      </c>
      <c r="I867" s="325" t="s">
        <v>2324</v>
      </c>
      <c r="J867" s="328">
        <v>89</v>
      </c>
      <c r="K867" s="329">
        <v>8910</v>
      </c>
      <c r="L867" s="325" t="s">
        <v>3319</v>
      </c>
      <c r="M867" s="326" t="s">
        <v>226</v>
      </c>
      <c r="N867" s="326"/>
      <c r="O867" s="330">
        <v>265.08</v>
      </c>
      <c r="P867" s="330">
        <v>7.01</v>
      </c>
      <c r="Q867" s="331">
        <v>8910</v>
      </c>
      <c r="R867" s="330">
        <v>150000</v>
      </c>
      <c r="S867" s="330">
        <v>1300</v>
      </c>
      <c r="T867" s="326" t="s">
        <v>170</v>
      </c>
      <c r="U867" s="326" t="s">
        <v>2040</v>
      </c>
      <c r="V867" s="332" t="s">
        <v>228</v>
      </c>
      <c r="W867" s="333" t="s">
        <v>228</v>
      </c>
    </row>
    <row r="868" spans="1:23" ht="45" customHeight="1" x14ac:dyDescent="0.4">
      <c r="A868" s="323">
        <v>824464</v>
      </c>
      <c r="B868" s="324" t="s">
        <v>5119</v>
      </c>
      <c r="C868" s="325" t="s">
        <v>1821</v>
      </c>
      <c r="D868" s="326" t="s">
        <v>2034</v>
      </c>
      <c r="E868" s="327" t="s">
        <v>1822</v>
      </c>
      <c r="F868" s="327"/>
      <c r="G868" s="327" t="s">
        <v>1823</v>
      </c>
      <c r="H868" s="325" t="s">
        <v>2035</v>
      </c>
      <c r="I868" s="325" t="s">
        <v>2324</v>
      </c>
      <c r="J868" s="328">
        <v>82</v>
      </c>
      <c r="K868" s="329">
        <v>8241</v>
      </c>
      <c r="L868" s="325" t="s">
        <v>3374</v>
      </c>
      <c r="M868" s="326" t="s">
        <v>2039</v>
      </c>
      <c r="N868" s="326"/>
      <c r="O868" s="330">
        <v>78.28</v>
      </c>
      <c r="P868" s="330">
        <v>0.51</v>
      </c>
      <c r="Q868" s="331">
        <v>8241</v>
      </c>
      <c r="R868" s="330">
        <v>320000</v>
      </c>
      <c r="S868" s="330">
        <v>3700</v>
      </c>
      <c r="T868" s="326" t="s">
        <v>170</v>
      </c>
      <c r="U868" s="326" t="s">
        <v>2040</v>
      </c>
      <c r="V868" s="332">
        <v>82410</v>
      </c>
      <c r="W868" s="333">
        <v>82410</v>
      </c>
    </row>
    <row r="869" spans="1:23" ht="45" customHeight="1" x14ac:dyDescent="0.4">
      <c r="A869" s="323">
        <v>824466</v>
      </c>
      <c r="B869" s="324" t="s">
        <v>5120</v>
      </c>
      <c r="C869" s="325" t="s">
        <v>3375</v>
      </c>
      <c r="D869" s="326" t="s">
        <v>2084</v>
      </c>
      <c r="E869" s="327" t="s">
        <v>1824</v>
      </c>
      <c r="F869" s="327"/>
      <c r="G869" s="327" t="s">
        <v>1825</v>
      </c>
      <c r="H869" s="325" t="s">
        <v>2035</v>
      </c>
      <c r="I869" s="325" t="s">
        <v>2324</v>
      </c>
      <c r="J869" s="328">
        <v>89</v>
      </c>
      <c r="K869" s="329">
        <v>8910</v>
      </c>
      <c r="L869" s="325" t="s">
        <v>3319</v>
      </c>
      <c r="M869" s="326" t="s">
        <v>226</v>
      </c>
      <c r="N869" s="326"/>
      <c r="O869" s="330">
        <v>265.08</v>
      </c>
      <c r="P869" s="330">
        <v>7.01</v>
      </c>
      <c r="Q869" s="331">
        <v>8910</v>
      </c>
      <c r="R869" s="330">
        <v>150000</v>
      </c>
      <c r="S869" s="330">
        <v>1300</v>
      </c>
      <c r="T869" s="326" t="s">
        <v>170</v>
      </c>
      <c r="U869" s="326" t="s">
        <v>2040</v>
      </c>
      <c r="V869" s="332" t="s">
        <v>228</v>
      </c>
      <c r="W869" s="333" t="s">
        <v>228</v>
      </c>
    </row>
    <row r="870" spans="1:23" ht="45" customHeight="1" x14ac:dyDescent="0.4">
      <c r="A870" s="323">
        <v>824468</v>
      </c>
      <c r="B870" s="324" t="s">
        <v>5121</v>
      </c>
      <c r="C870" s="325" t="s">
        <v>3376</v>
      </c>
      <c r="D870" s="326" t="s">
        <v>2084</v>
      </c>
      <c r="E870" s="327" t="s">
        <v>1826</v>
      </c>
      <c r="F870" s="327"/>
      <c r="G870" s="327" t="s">
        <v>1827</v>
      </c>
      <c r="H870" s="325" t="s">
        <v>2035</v>
      </c>
      <c r="I870" s="325" t="s">
        <v>2324</v>
      </c>
      <c r="J870" s="328">
        <v>89</v>
      </c>
      <c r="K870" s="329">
        <v>8910</v>
      </c>
      <c r="L870" s="325" t="s">
        <v>3319</v>
      </c>
      <c r="M870" s="326" t="s">
        <v>226</v>
      </c>
      <c r="N870" s="326"/>
      <c r="O870" s="330">
        <v>265.08</v>
      </c>
      <c r="P870" s="330">
        <v>7.01</v>
      </c>
      <c r="Q870" s="331">
        <v>8910</v>
      </c>
      <c r="R870" s="330">
        <v>150000</v>
      </c>
      <c r="S870" s="330">
        <v>1300</v>
      </c>
      <c r="T870" s="326" t="s">
        <v>170</v>
      </c>
      <c r="U870" s="326" t="s">
        <v>2040</v>
      </c>
      <c r="V870" s="332" t="s">
        <v>228</v>
      </c>
      <c r="W870" s="333" t="s">
        <v>228</v>
      </c>
    </row>
    <row r="871" spans="1:23" ht="45" customHeight="1" x14ac:dyDescent="0.4">
      <c r="A871" s="323">
        <v>826121</v>
      </c>
      <c r="B871" s="324" t="s">
        <v>5122</v>
      </c>
      <c r="C871" s="325" t="s">
        <v>3377</v>
      </c>
      <c r="D871" s="326" t="s">
        <v>2045</v>
      </c>
      <c r="E871" s="327" t="s">
        <v>1828</v>
      </c>
      <c r="F871" s="327"/>
      <c r="G871" s="327" t="s">
        <v>383</v>
      </c>
      <c r="H871" s="325" t="e">
        <v>#N/A</v>
      </c>
      <c r="I871" s="325" t="e">
        <v>#N/A</v>
      </c>
      <c r="J871" s="328">
        <v>82</v>
      </c>
      <c r="K871" s="329">
        <v>8261</v>
      </c>
      <c r="L871" s="325" t="s">
        <v>3898</v>
      </c>
      <c r="M871" s="326" t="s">
        <v>2818</v>
      </c>
      <c r="N871" s="326"/>
      <c r="O871" s="330">
        <v>7224.7</v>
      </c>
      <c r="P871" s="330">
        <v>77.34</v>
      </c>
      <c r="Q871" s="331">
        <v>8261</v>
      </c>
      <c r="R871" s="330">
        <v>4600</v>
      </c>
      <c r="S871" s="330">
        <v>260</v>
      </c>
      <c r="T871" s="326" t="s">
        <v>170</v>
      </c>
      <c r="U871" s="326" t="s">
        <v>2040</v>
      </c>
      <c r="V871" s="332">
        <v>82610</v>
      </c>
      <c r="W871" s="333">
        <v>82620</v>
      </c>
    </row>
    <row r="872" spans="1:23" ht="45" customHeight="1" x14ac:dyDescent="0.4">
      <c r="A872" s="323">
        <v>826123</v>
      </c>
      <c r="B872" s="324" t="s">
        <v>5123</v>
      </c>
      <c r="C872" s="325" t="s">
        <v>3378</v>
      </c>
      <c r="D872" s="326" t="s">
        <v>2045</v>
      </c>
      <c r="E872" s="327" t="s">
        <v>1829</v>
      </c>
      <c r="F872" s="327"/>
      <c r="G872" s="327" t="s">
        <v>1830</v>
      </c>
      <c r="H872" s="325" t="s">
        <v>2035</v>
      </c>
      <c r="I872" s="325" t="s">
        <v>2324</v>
      </c>
      <c r="J872" s="328">
        <v>82</v>
      </c>
      <c r="K872" s="329">
        <v>8261</v>
      </c>
      <c r="L872" s="325" t="s">
        <v>3898</v>
      </c>
      <c r="M872" s="326" t="s">
        <v>2818</v>
      </c>
      <c r="N872" s="326"/>
      <c r="O872" s="330">
        <v>7224.7</v>
      </c>
      <c r="P872" s="330">
        <v>77.34</v>
      </c>
      <c r="Q872" s="331">
        <v>8261</v>
      </c>
      <c r="R872" s="330">
        <v>4600</v>
      </c>
      <c r="S872" s="330">
        <v>260</v>
      </c>
      <c r="T872" s="326" t="s">
        <v>170</v>
      </c>
      <c r="U872" s="326" t="s">
        <v>2040</v>
      </c>
      <c r="V872" s="332">
        <v>82610</v>
      </c>
      <c r="W872" s="333">
        <v>82620</v>
      </c>
    </row>
    <row r="873" spans="1:23" ht="45" customHeight="1" x14ac:dyDescent="0.4">
      <c r="A873" s="323">
        <v>827111</v>
      </c>
      <c r="B873" s="324" t="s">
        <v>5124</v>
      </c>
      <c r="C873" s="325" t="s">
        <v>3379</v>
      </c>
      <c r="D873" s="326" t="s">
        <v>2034</v>
      </c>
      <c r="E873" s="327" t="s">
        <v>1831</v>
      </c>
      <c r="F873" s="327"/>
      <c r="G873" s="327" t="s">
        <v>1832</v>
      </c>
      <c r="H873" s="325" t="s">
        <v>2035</v>
      </c>
      <c r="I873" s="325" t="s">
        <v>2324</v>
      </c>
      <c r="J873" s="328">
        <v>82</v>
      </c>
      <c r="K873" s="329">
        <v>8271</v>
      </c>
      <c r="L873" s="325" t="s">
        <v>3380</v>
      </c>
      <c r="M873" s="326" t="s">
        <v>2039</v>
      </c>
      <c r="N873" s="326"/>
      <c r="O873" s="330">
        <v>168.66</v>
      </c>
      <c r="P873" s="330">
        <v>3.56</v>
      </c>
      <c r="Q873" s="331">
        <v>8271</v>
      </c>
      <c r="R873" s="330">
        <v>18000</v>
      </c>
      <c r="S873" s="330">
        <v>1700</v>
      </c>
      <c r="T873" s="326" t="s">
        <v>170</v>
      </c>
      <c r="U873" s="326" t="s">
        <v>2040</v>
      </c>
      <c r="V873" s="332">
        <v>82710</v>
      </c>
      <c r="W873" s="333">
        <v>82720</v>
      </c>
    </row>
    <row r="874" spans="1:23" ht="45" customHeight="1" x14ac:dyDescent="0.4">
      <c r="A874" s="323">
        <v>831155</v>
      </c>
      <c r="B874" s="324" t="s">
        <v>5125</v>
      </c>
      <c r="C874" s="325" t="s">
        <v>3381</v>
      </c>
      <c r="D874" s="326" t="s">
        <v>2045</v>
      </c>
      <c r="E874" s="327" t="s">
        <v>1833</v>
      </c>
      <c r="F874" s="327" t="s">
        <v>3899</v>
      </c>
      <c r="G874" s="327" t="s">
        <v>1834</v>
      </c>
      <c r="H874" s="325" t="s">
        <v>2035</v>
      </c>
      <c r="I874" s="325" t="s">
        <v>2570</v>
      </c>
      <c r="J874" s="328">
        <v>83</v>
      </c>
      <c r="K874" s="329">
        <v>8312</v>
      </c>
      <c r="L874" s="325" t="s">
        <v>3382</v>
      </c>
      <c r="M874" s="326" t="s">
        <v>3383</v>
      </c>
      <c r="N874" s="326"/>
      <c r="O874" s="330">
        <v>16087.68</v>
      </c>
      <c r="P874" s="330">
        <v>184.03</v>
      </c>
      <c r="Q874" s="331">
        <v>8312</v>
      </c>
      <c r="R874" s="330">
        <v>3000</v>
      </c>
      <c r="S874" s="330">
        <v>300</v>
      </c>
      <c r="T874" s="326" t="s">
        <v>170</v>
      </c>
      <c r="U874" s="326" t="s">
        <v>2040</v>
      </c>
      <c r="V874" s="332">
        <v>83140</v>
      </c>
      <c r="W874" s="333">
        <v>83115</v>
      </c>
    </row>
    <row r="875" spans="1:23" ht="45" customHeight="1" x14ac:dyDescent="0.4">
      <c r="A875" s="323">
        <v>831157</v>
      </c>
      <c r="B875" s="324" t="s">
        <v>5126</v>
      </c>
      <c r="C875" s="325" t="s">
        <v>3384</v>
      </c>
      <c r="D875" s="326" t="s">
        <v>2045</v>
      </c>
      <c r="E875" s="327" t="s">
        <v>5127</v>
      </c>
      <c r="F875" s="327"/>
      <c r="G875" s="327" t="s">
        <v>1835</v>
      </c>
      <c r="H875" s="325" t="s">
        <v>2035</v>
      </c>
      <c r="I875" s="325" t="s">
        <v>2570</v>
      </c>
      <c r="J875" s="328">
        <v>83</v>
      </c>
      <c r="K875" s="329">
        <v>8313</v>
      </c>
      <c r="L875" s="325" t="s">
        <v>3385</v>
      </c>
      <c r="M875" s="326" t="s">
        <v>3383</v>
      </c>
      <c r="N875" s="326"/>
      <c r="O875" s="330">
        <v>57.44</v>
      </c>
      <c r="P875" s="330">
        <v>3.97</v>
      </c>
      <c r="Q875" s="331">
        <v>8313</v>
      </c>
      <c r="R875" s="330">
        <v>10400</v>
      </c>
      <c r="S875" s="330">
        <v>220</v>
      </c>
      <c r="T875" s="326" t="s">
        <v>170</v>
      </c>
      <c r="U875" s="326" t="s">
        <v>2040</v>
      </c>
      <c r="V875" s="332" t="s">
        <v>3386</v>
      </c>
      <c r="W875" s="333" t="s">
        <v>3387</v>
      </c>
    </row>
    <row r="876" spans="1:23" ht="45" customHeight="1" x14ac:dyDescent="0.4">
      <c r="A876" s="323">
        <v>831165</v>
      </c>
      <c r="B876" s="324" t="s">
        <v>5128</v>
      </c>
      <c r="C876" s="325" t="s">
        <v>3388</v>
      </c>
      <c r="D876" s="326" t="s">
        <v>2045</v>
      </c>
      <c r="E876" s="327" t="s">
        <v>1836</v>
      </c>
      <c r="F876" s="327"/>
      <c r="G876" s="327" t="s">
        <v>1837</v>
      </c>
      <c r="H876" s="325" t="s">
        <v>2035</v>
      </c>
      <c r="I876" s="325" t="s">
        <v>2570</v>
      </c>
      <c r="J876" s="328">
        <v>83</v>
      </c>
      <c r="K876" s="329">
        <v>8311</v>
      </c>
      <c r="L876" s="325" t="s">
        <v>3389</v>
      </c>
      <c r="M876" s="326" t="s">
        <v>3383</v>
      </c>
      <c r="N876" s="326"/>
      <c r="O876" s="330">
        <v>10938.24</v>
      </c>
      <c r="P876" s="330">
        <v>186.27</v>
      </c>
      <c r="Q876" s="331">
        <v>8311</v>
      </c>
      <c r="R876" s="330">
        <v>15000</v>
      </c>
      <c r="S876" s="330">
        <v>860</v>
      </c>
      <c r="T876" s="326" t="s">
        <v>170</v>
      </c>
      <c r="U876" s="326" t="s">
        <v>2040</v>
      </c>
      <c r="V876" s="332" t="s">
        <v>3390</v>
      </c>
      <c r="W876" s="333">
        <v>83110</v>
      </c>
    </row>
    <row r="877" spans="1:23" ht="45" customHeight="1" x14ac:dyDescent="0.4">
      <c r="A877" s="323">
        <v>831168</v>
      </c>
      <c r="B877" s="324" t="s">
        <v>5129</v>
      </c>
      <c r="C877" s="325" t="s">
        <v>3391</v>
      </c>
      <c r="D877" s="326" t="s">
        <v>2084</v>
      </c>
      <c r="E877" s="327" t="s">
        <v>1838</v>
      </c>
      <c r="F877" s="327"/>
      <c r="G877" s="327" t="s">
        <v>1839</v>
      </c>
      <c r="H877" s="325" t="s">
        <v>2035</v>
      </c>
      <c r="I877" s="325" t="s">
        <v>2570</v>
      </c>
      <c r="J877" s="328">
        <v>89</v>
      </c>
      <c r="K877" s="329">
        <v>8910</v>
      </c>
      <c r="L877" s="325" t="s">
        <v>3319</v>
      </c>
      <c r="M877" s="326" t="s">
        <v>226</v>
      </c>
      <c r="N877" s="326"/>
      <c r="O877" s="330">
        <v>265.08</v>
      </c>
      <c r="P877" s="330">
        <v>7.01</v>
      </c>
      <c r="Q877" s="331">
        <v>8910</v>
      </c>
      <c r="R877" s="330">
        <v>150000</v>
      </c>
      <c r="S877" s="330">
        <v>1300</v>
      </c>
      <c r="T877" s="326" t="s">
        <v>170</v>
      </c>
      <c r="U877" s="326" t="s">
        <v>2040</v>
      </c>
      <c r="V877" s="332" t="s">
        <v>3392</v>
      </c>
      <c r="W877" s="333" t="s">
        <v>3393</v>
      </c>
    </row>
    <row r="878" spans="1:23" ht="45" customHeight="1" x14ac:dyDescent="0.4">
      <c r="A878" s="323">
        <v>831169</v>
      </c>
      <c r="B878" s="324" t="s">
        <v>5130</v>
      </c>
      <c r="C878" s="325" t="s">
        <v>1840</v>
      </c>
      <c r="D878" s="326" t="s">
        <v>2045</v>
      </c>
      <c r="E878" s="327" t="s">
        <v>1841</v>
      </c>
      <c r="F878" s="327"/>
      <c r="G878" s="327" t="s">
        <v>1842</v>
      </c>
      <c r="H878" s="325" t="s">
        <v>2035</v>
      </c>
      <c r="I878" s="325" t="s">
        <v>2570</v>
      </c>
      <c r="J878" s="328">
        <v>83</v>
      </c>
      <c r="K878" s="329">
        <v>8314</v>
      </c>
      <c r="L878" s="325" t="s">
        <v>3394</v>
      </c>
      <c r="M878" s="326" t="s">
        <v>2101</v>
      </c>
      <c r="N878" s="326"/>
      <c r="O878" s="330">
        <v>7.03</v>
      </c>
      <c r="P878" s="330">
        <v>0.13</v>
      </c>
      <c r="Q878" s="331">
        <v>8314</v>
      </c>
      <c r="R878" s="330">
        <v>750000</v>
      </c>
      <c r="S878" s="330">
        <v>19000</v>
      </c>
      <c r="T878" s="326" t="s">
        <v>170</v>
      </c>
      <c r="U878" s="326" t="s">
        <v>2040</v>
      </c>
      <c r="V878" s="332">
        <v>83120</v>
      </c>
      <c r="W878" s="333">
        <v>83130</v>
      </c>
    </row>
    <row r="879" spans="1:23" ht="45" customHeight="1" x14ac:dyDescent="0.4">
      <c r="A879" s="323">
        <v>831171</v>
      </c>
      <c r="B879" s="324" t="s">
        <v>5131</v>
      </c>
      <c r="C879" s="325" t="s">
        <v>3395</v>
      </c>
      <c r="D879" s="326" t="s">
        <v>2045</v>
      </c>
      <c r="E879" s="327" t="s">
        <v>1843</v>
      </c>
      <c r="F879" s="327"/>
      <c r="G879" s="327" t="s">
        <v>1844</v>
      </c>
      <c r="H879" s="325" t="s">
        <v>2035</v>
      </c>
      <c r="I879" s="325" t="s">
        <v>2570</v>
      </c>
      <c r="J879" s="328">
        <v>89</v>
      </c>
      <c r="K879" s="329">
        <v>8926</v>
      </c>
      <c r="L879" s="325" t="s">
        <v>3396</v>
      </c>
      <c r="M879" s="326" t="s">
        <v>2076</v>
      </c>
      <c r="N879" s="326"/>
      <c r="O879" s="330">
        <v>2426698.8199999998</v>
      </c>
      <c r="P879" s="330">
        <v>5108.05</v>
      </c>
      <c r="Q879" s="331">
        <v>8926</v>
      </c>
      <c r="R879" s="330">
        <v>1</v>
      </c>
      <c r="S879" s="330">
        <v>1</v>
      </c>
      <c r="T879" s="326" t="s">
        <v>170</v>
      </c>
      <c r="U879" s="326" t="s">
        <v>2040</v>
      </c>
      <c r="V879" s="332" t="s">
        <v>228</v>
      </c>
      <c r="W879" s="333">
        <v>83140</v>
      </c>
    </row>
    <row r="880" spans="1:23" ht="45" customHeight="1" x14ac:dyDescent="0.4">
      <c r="A880" s="323">
        <v>831172</v>
      </c>
      <c r="B880" s="324" t="s">
        <v>5132</v>
      </c>
      <c r="C880" s="325" t="s">
        <v>3397</v>
      </c>
      <c r="D880" s="326" t="s">
        <v>2045</v>
      </c>
      <c r="E880" s="327" t="s">
        <v>1845</v>
      </c>
      <c r="F880" s="327"/>
      <c r="G880" s="327" t="s">
        <v>1846</v>
      </c>
      <c r="H880" s="325" t="s">
        <v>2035</v>
      </c>
      <c r="I880" s="325" t="s">
        <v>2570</v>
      </c>
      <c r="J880" s="328">
        <v>89</v>
      </c>
      <c r="K880" s="329">
        <v>8926</v>
      </c>
      <c r="L880" s="325" t="s">
        <v>3396</v>
      </c>
      <c r="M880" s="326" t="s">
        <v>2076</v>
      </c>
      <c r="N880" s="326"/>
      <c r="O880" s="330">
        <v>2426698.8199999998</v>
      </c>
      <c r="P880" s="330">
        <v>5108.05</v>
      </c>
      <c r="Q880" s="331">
        <v>8926</v>
      </c>
      <c r="R880" s="330">
        <v>1</v>
      </c>
      <c r="S880" s="330">
        <v>1</v>
      </c>
      <c r="T880" s="326" t="s">
        <v>170</v>
      </c>
      <c r="U880" s="326" t="s">
        <v>2040</v>
      </c>
      <c r="V880" s="332" t="s">
        <v>228</v>
      </c>
      <c r="W880" s="333">
        <v>83140</v>
      </c>
    </row>
    <row r="881" spans="1:23" ht="45" customHeight="1" x14ac:dyDescent="0.4">
      <c r="A881" s="323">
        <v>831173</v>
      </c>
      <c r="B881" s="324" t="s">
        <v>5133</v>
      </c>
      <c r="C881" s="325" t="s">
        <v>3398</v>
      </c>
      <c r="D881" s="326" t="s">
        <v>2045</v>
      </c>
      <c r="E881" s="327" t="s">
        <v>1847</v>
      </c>
      <c r="F881" s="327"/>
      <c r="G881" s="327" t="s">
        <v>1848</v>
      </c>
      <c r="H881" s="325" t="s">
        <v>2035</v>
      </c>
      <c r="I881" s="325" t="s">
        <v>2570</v>
      </c>
      <c r="J881" s="328">
        <v>89</v>
      </c>
      <c r="K881" s="329">
        <v>8926</v>
      </c>
      <c r="L881" s="325" t="s">
        <v>3396</v>
      </c>
      <c r="M881" s="326" t="s">
        <v>2076</v>
      </c>
      <c r="N881" s="326"/>
      <c r="O881" s="330">
        <v>2426698.8199999998</v>
      </c>
      <c r="P881" s="330">
        <v>5108.05</v>
      </c>
      <c r="Q881" s="331">
        <v>8926</v>
      </c>
      <c r="R881" s="330">
        <v>1</v>
      </c>
      <c r="S881" s="330">
        <v>1</v>
      </c>
      <c r="T881" s="326" t="s">
        <v>170</v>
      </c>
      <c r="U881" s="326" t="s">
        <v>2040</v>
      </c>
      <c r="V881" s="332" t="s">
        <v>228</v>
      </c>
      <c r="W881" s="333" t="s">
        <v>3399</v>
      </c>
    </row>
    <row r="882" spans="1:23" ht="45" customHeight="1" x14ac:dyDescent="0.4">
      <c r="A882" s="323">
        <v>831410</v>
      </c>
      <c r="B882" s="324" t="s">
        <v>5134</v>
      </c>
      <c r="C882" s="325" t="s">
        <v>3400</v>
      </c>
      <c r="D882" s="326" t="s">
        <v>2045</v>
      </c>
      <c r="E882" s="327" t="s">
        <v>5135</v>
      </c>
      <c r="F882" s="327" t="s">
        <v>3900</v>
      </c>
      <c r="G882" s="327" t="s">
        <v>383</v>
      </c>
      <c r="H882" s="325" t="e">
        <v>#N/A</v>
      </c>
      <c r="I882" s="325" t="e">
        <v>#N/A</v>
      </c>
      <c r="J882" s="328">
        <v>89</v>
      </c>
      <c r="K882" s="329">
        <v>8926</v>
      </c>
      <c r="L882" s="325" t="s">
        <v>3396</v>
      </c>
      <c r="M882" s="326" t="s">
        <v>2076</v>
      </c>
      <c r="N882" s="326"/>
      <c r="O882" s="330">
        <v>2426698.8199999998</v>
      </c>
      <c r="P882" s="330">
        <v>5108.05</v>
      </c>
      <c r="Q882" s="331">
        <v>8926</v>
      </c>
      <c r="R882" s="330">
        <v>1</v>
      </c>
      <c r="S882" s="330">
        <v>1</v>
      </c>
      <c r="T882" s="326" t="s">
        <v>170</v>
      </c>
      <c r="U882" s="326" t="s">
        <v>2040</v>
      </c>
      <c r="V882" s="332"/>
      <c r="W882" s="333"/>
    </row>
    <row r="883" spans="1:23" ht="45" customHeight="1" x14ac:dyDescent="0.4">
      <c r="A883" s="323">
        <v>831511</v>
      </c>
      <c r="B883" s="324" t="s">
        <v>5136</v>
      </c>
      <c r="C883" s="325" t="s">
        <v>3401</v>
      </c>
      <c r="D883" s="326" t="s">
        <v>2045</v>
      </c>
      <c r="E883" s="327" t="s">
        <v>1849</v>
      </c>
      <c r="F883" s="327"/>
      <c r="G883" s="327" t="s">
        <v>383</v>
      </c>
      <c r="H883" s="325" t="e">
        <v>#N/A</v>
      </c>
      <c r="I883" s="325" t="e">
        <v>#N/A</v>
      </c>
      <c r="J883" s="328">
        <v>83</v>
      </c>
      <c r="K883" s="329">
        <v>8315</v>
      </c>
      <c r="L883" s="325" t="s">
        <v>3402</v>
      </c>
      <c r="M883" s="326" t="s">
        <v>2101</v>
      </c>
      <c r="N883" s="326"/>
      <c r="O883" s="330">
        <v>0.53</v>
      </c>
      <c r="P883" s="330">
        <v>0</v>
      </c>
      <c r="Q883" s="331">
        <v>8315</v>
      </c>
      <c r="R883" s="330">
        <v>1300000</v>
      </c>
      <c r="S883" s="330">
        <v>540000</v>
      </c>
      <c r="T883" s="326" t="s">
        <v>170</v>
      </c>
      <c r="U883" s="326" t="s">
        <v>2040</v>
      </c>
      <c r="V883" s="332">
        <v>83130</v>
      </c>
      <c r="W883" s="333">
        <v>83131</v>
      </c>
    </row>
    <row r="884" spans="1:23" ht="45" customHeight="1" x14ac:dyDescent="0.4">
      <c r="A884" s="323">
        <v>832255</v>
      </c>
      <c r="B884" s="324" t="s">
        <v>5137</v>
      </c>
      <c r="C884" s="325" t="s">
        <v>3403</v>
      </c>
      <c r="D884" s="326" t="s">
        <v>2034</v>
      </c>
      <c r="E884" s="327" t="s">
        <v>1850</v>
      </c>
      <c r="F884" s="327"/>
      <c r="G884" s="327" t="s">
        <v>1851</v>
      </c>
      <c r="H884" s="325" t="s">
        <v>2035</v>
      </c>
      <c r="I884" s="325" t="s">
        <v>2570</v>
      </c>
      <c r="J884" s="328">
        <v>83</v>
      </c>
      <c r="K884" s="329">
        <v>8321</v>
      </c>
      <c r="L884" s="325" t="s">
        <v>3404</v>
      </c>
      <c r="M884" s="326" t="s">
        <v>2039</v>
      </c>
      <c r="N884" s="326"/>
      <c r="O884" s="330">
        <v>176.9</v>
      </c>
      <c r="P884" s="330">
        <v>1.1200000000000001</v>
      </c>
      <c r="Q884" s="331">
        <v>8321</v>
      </c>
      <c r="R884" s="330">
        <v>500000</v>
      </c>
      <c r="S884" s="330">
        <v>4000</v>
      </c>
      <c r="T884" s="326" t="s">
        <v>170</v>
      </c>
      <c r="U884" s="326" t="s">
        <v>2040</v>
      </c>
      <c r="V884" s="332">
        <v>83240</v>
      </c>
      <c r="W884" s="333">
        <v>83240</v>
      </c>
    </row>
    <row r="885" spans="1:23" ht="45" customHeight="1" x14ac:dyDescent="0.4">
      <c r="A885" s="323">
        <v>832266</v>
      </c>
      <c r="B885" s="324" t="s">
        <v>5138</v>
      </c>
      <c r="C885" s="325" t="s">
        <v>3405</v>
      </c>
      <c r="D885" s="326" t="s">
        <v>2034</v>
      </c>
      <c r="E885" s="327" t="s">
        <v>1852</v>
      </c>
      <c r="F885" s="327"/>
      <c r="G885" s="327" t="s">
        <v>1853</v>
      </c>
      <c r="H885" s="325" t="s">
        <v>2035</v>
      </c>
      <c r="I885" s="325" t="s">
        <v>2570</v>
      </c>
      <c r="J885" s="328">
        <v>83</v>
      </c>
      <c r="K885" s="329">
        <v>8321</v>
      </c>
      <c r="L885" s="325" t="s">
        <v>3404</v>
      </c>
      <c r="M885" s="326" t="s">
        <v>2039</v>
      </c>
      <c r="N885" s="326"/>
      <c r="O885" s="330">
        <v>176.9</v>
      </c>
      <c r="P885" s="330">
        <v>1.1200000000000001</v>
      </c>
      <c r="Q885" s="331">
        <v>8321</v>
      </c>
      <c r="R885" s="330">
        <v>500000</v>
      </c>
      <c r="S885" s="330">
        <v>4000</v>
      </c>
      <c r="T885" s="326" t="s">
        <v>170</v>
      </c>
      <c r="U885" s="326" t="s">
        <v>2040</v>
      </c>
      <c r="V885" s="332" t="s">
        <v>3406</v>
      </c>
      <c r="W885" s="333">
        <v>83210</v>
      </c>
    </row>
    <row r="886" spans="1:23" ht="45" customHeight="1" x14ac:dyDescent="0.4">
      <c r="A886" s="323">
        <v>832267</v>
      </c>
      <c r="B886" s="324" t="s">
        <v>5139</v>
      </c>
      <c r="C886" s="325" t="s">
        <v>3407</v>
      </c>
      <c r="D886" s="326" t="s">
        <v>2045</v>
      </c>
      <c r="E886" s="327" t="s">
        <v>1854</v>
      </c>
      <c r="F886" s="327" t="s">
        <v>5140</v>
      </c>
      <c r="G886" s="327" t="s">
        <v>1855</v>
      </c>
      <c r="H886" s="325" t="s">
        <v>2035</v>
      </c>
      <c r="I886" s="325" t="s">
        <v>2570</v>
      </c>
      <c r="J886" s="328">
        <v>83</v>
      </c>
      <c r="K886" s="329">
        <v>8316</v>
      </c>
      <c r="L886" s="325" t="s">
        <v>3408</v>
      </c>
      <c r="M886" s="326" t="s">
        <v>3383</v>
      </c>
      <c r="N886" s="326"/>
      <c r="O886" s="330">
        <v>3314.52</v>
      </c>
      <c r="P886" s="330">
        <v>11.58</v>
      </c>
      <c r="Q886" s="331">
        <v>8316</v>
      </c>
      <c r="R886" s="330">
        <v>28800</v>
      </c>
      <c r="S886" s="330">
        <v>6000</v>
      </c>
      <c r="T886" s="326" t="s">
        <v>170</v>
      </c>
      <c r="U886" s="326" t="s">
        <v>2040</v>
      </c>
      <c r="V886" s="332">
        <v>83150</v>
      </c>
      <c r="W886" s="333" t="s">
        <v>3409</v>
      </c>
    </row>
    <row r="887" spans="1:23" ht="45" customHeight="1" x14ac:dyDescent="0.4">
      <c r="A887" s="323">
        <v>833101</v>
      </c>
      <c r="B887" s="324" t="s">
        <v>5141</v>
      </c>
      <c r="C887" s="325" t="s">
        <v>1856</v>
      </c>
      <c r="D887" s="326" t="s">
        <v>2045</v>
      </c>
      <c r="E887" s="327" t="s">
        <v>1857</v>
      </c>
      <c r="F887" s="327"/>
      <c r="G887" s="327" t="s">
        <v>383</v>
      </c>
      <c r="H887" s="325" t="e">
        <v>#N/A</v>
      </c>
      <c r="I887" s="325" t="e">
        <v>#N/A</v>
      </c>
      <c r="J887" s="328">
        <v>83</v>
      </c>
      <c r="K887" s="329">
        <v>8331</v>
      </c>
      <c r="L887" s="325" t="s">
        <v>3901</v>
      </c>
      <c r="M887" s="326" t="s">
        <v>226</v>
      </c>
      <c r="N887" s="326"/>
      <c r="O887" s="330">
        <v>104.35</v>
      </c>
      <c r="P887" s="330">
        <v>2.63</v>
      </c>
      <c r="Q887" s="331">
        <v>8331</v>
      </c>
      <c r="R887" s="330">
        <v>75000</v>
      </c>
      <c r="S887" s="330">
        <v>5500</v>
      </c>
      <c r="T887" s="326" t="s">
        <v>170</v>
      </c>
      <c r="U887" s="326" t="s">
        <v>2040</v>
      </c>
      <c r="V887" s="332">
        <v>83320</v>
      </c>
      <c r="W887" s="333">
        <v>73082</v>
      </c>
    </row>
    <row r="888" spans="1:23" ht="45" customHeight="1" x14ac:dyDescent="0.4">
      <c r="A888" s="323">
        <v>833221</v>
      </c>
      <c r="B888" s="324" t="s">
        <v>5142</v>
      </c>
      <c r="C888" s="325" t="s">
        <v>3410</v>
      </c>
      <c r="D888" s="326" t="s">
        <v>2045</v>
      </c>
      <c r="E888" s="327" t="s">
        <v>3759</v>
      </c>
      <c r="F888" s="327" t="s">
        <v>5143</v>
      </c>
      <c r="G888" s="327" t="s">
        <v>383</v>
      </c>
      <c r="H888" s="325" t="e">
        <v>#N/A</v>
      </c>
      <c r="I888" s="325" t="e">
        <v>#N/A</v>
      </c>
      <c r="J888" s="328">
        <v>83</v>
      </c>
      <c r="K888" s="329">
        <v>8332</v>
      </c>
      <c r="L888" s="325" t="s">
        <v>3411</v>
      </c>
      <c r="M888" s="326" t="s">
        <v>3412</v>
      </c>
      <c r="N888" s="326"/>
      <c r="O888" s="330">
        <v>379131.71</v>
      </c>
      <c r="P888" s="330">
        <v>1448.53</v>
      </c>
      <c r="Q888" s="331">
        <v>8332</v>
      </c>
      <c r="R888" s="330">
        <v>33</v>
      </c>
      <c r="S888" s="330">
        <v>7</v>
      </c>
      <c r="T888" s="326" t="s">
        <v>170</v>
      </c>
      <c r="U888" s="326" t="s">
        <v>2040</v>
      </c>
      <c r="V888" s="332">
        <v>83310</v>
      </c>
      <c r="W888" s="333" t="s">
        <v>3413</v>
      </c>
    </row>
    <row r="889" spans="1:23" ht="45" customHeight="1" x14ac:dyDescent="0.4">
      <c r="A889" s="323">
        <v>833300</v>
      </c>
      <c r="B889" s="324" t="s">
        <v>5144</v>
      </c>
      <c r="C889" s="325" t="s">
        <v>1858</v>
      </c>
      <c r="D889" s="326" t="s">
        <v>2034</v>
      </c>
      <c r="E889" s="327" t="s">
        <v>1859</v>
      </c>
      <c r="F889" s="327"/>
      <c r="G889" s="327" t="s">
        <v>383</v>
      </c>
      <c r="H889" s="325" t="e">
        <v>#N/A</v>
      </c>
      <c r="I889" s="325" t="e">
        <v>#N/A</v>
      </c>
      <c r="J889" s="328">
        <v>85</v>
      </c>
      <c r="K889" s="329">
        <v>8526</v>
      </c>
      <c r="L889" s="325" t="s">
        <v>2161</v>
      </c>
      <c r="M889" s="326" t="s">
        <v>2038</v>
      </c>
      <c r="N889" s="326"/>
      <c r="O889" s="330">
        <v>76.33</v>
      </c>
      <c r="P889" s="330">
        <v>1.8</v>
      </c>
      <c r="Q889" s="331">
        <v>8526</v>
      </c>
      <c r="R889" s="330">
        <v>160000</v>
      </c>
      <c r="S889" s="330">
        <v>530</v>
      </c>
      <c r="T889" s="326" t="s">
        <v>170</v>
      </c>
      <c r="U889" s="326" t="s">
        <v>2040</v>
      </c>
      <c r="V889" s="332">
        <v>85225</v>
      </c>
      <c r="W889" s="333">
        <v>83330</v>
      </c>
    </row>
    <row r="890" spans="1:23" ht="45" customHeight="1" x14ac:dyDescent="0.4">
      <c r="A890" s="323">
        <v>833354</v>
      </c>
      <c r="B890" s="324" t="s">
        <v>5145</v>
      </c>
      <c r="C890" s="325" t="s">
        <v>3414</v>
      </c>
      <c r="D890" s="326" t="s">
        <v>2045</v>
      </c>
      <c r="E890" s="327" t="s">
        <v>1860</v>
      </c>
      <c r="F890" s="327"/>
      <c r="G890" s="327" t="s">
        <v>1861</v>
      </c>
      <c r="H890" s="325" t="s">
        <v>2035</v>
      </c>
      <c r="I890" s="325" t="s">
        <v>2570</v>
      </c>
      <c r="J890" s="328">
        <v>83</v>
      </c>
      <c r="K890" s="329">
        <v>8331</v>
      </c>
      <c r="L890" s="325" t="s">
        <v>3901</v>
      </c>
      <c r="M890" s="326" t="s">
        <v>226</v>
      </c>
      <c r="N890" s="326"/>
      <c r="O890" s="330">
        <v>104.35</v>
      </c>
      <c r="P890" s="330">
        <v>2.63</v>
      </c>
      <c r="Q890" s="331">
        <v>8331</v>
      </c>
      <c r="R890" s="330">
        <v>75000</v>
      </c>
      <c r="S890" s="330">
        <v>5500</v>
      </c>
      <c r="T890" s="326" t="s">
        <v>170</v>
      </c>
      <c r="U890" s="326" t="s">
        <v>2040</v>
      </c>
      <c r="V890" s="332">
        <v>83312</v>
      </c>
      <c r="W890" s="333" t="s">
        <v>3415</v>
      </c>
    </row>
    <row r="891" spans="1:23" ht="45" customHeight="1" x14ac:dyDescent="0.4">
      <c r="A891" s="323">
        <v>833356</v>
      </c>
      <c r="B891" s="324" t="s">
        <v>5146</v>
      </c>
      <c r="C891" s="325" t="s">
        <v>3416</v>
      </c>
      <c r="D891" s="326" t="s">
        <v>2045</v>
      </c>
      <c r="E891" s="327" t="s">
        <v>1862</v>
      </c>
      <c r="F891" s="327"/>
      <c r="G891" s="327" t="s">
        <v>1863</v>
      </c>
      <c r="H891" s="325" t="s">
        <v>2035</v>
      </c>
      <c r="I891" s="325" t="s">
        <v>2570</v>
      </c>
      <c r="J891" s="328">
        <v>83</v>
      </c>
      <c r="K891" s="329">
        <v>8331</v>
      </c>
      <c r="L891" s="325" t="s">
        <v>3901</v>
      </c>
      <c r="M891" s="326" t="s">
        <v>226</v>
      </c>
      <c r="N891" s="326"/>
      <c r="O891" s="330">
        <v>104.35</v>
      </c>
      <c r="P891" s="330">
        <v>2.63</v>
      </c>
      <c r="Q891" s="331">
        <v>8331</v>
      </c>
      <c r="R891" s="330">
        <v>75000</v>
      </c>
      <c r="S891" s="330">
        <v>5500</v>
      </c>
      <c r="T891" s="326" t="s">
        <v>170</v>
      </c>
      <c r="U891" s="326" t="s">
        <v>2040</v>
      </c>
      <c r="V891" s="332">
        <v>83312</v>
      </c>
      <c r="W891" s="333" t="s">
        <v>3415</v>
      </c>
    </row>
    <row r="892" spans="1:23" ht="45" customHeight="1" x14ac:dyDescent="0.4">
      <c r="A892" s="323">
        <v>833358</v>
      </c>
      <c r="B892" s="324" t="s">
        <v>5147</v>
      </c>
      <c r="C892" s="325" t="s">
        <v>3417</v>
      </c>
      <c r="D892" s="326" t="s">
        <v>2045</v>
      </c>
      <c r="E892" s="327" t="s">
        <v>1864</v>
      </c>
      <c r="F892" s="327"/>
      <c r="G892" s="327" t="s">
        <v>1865</v>
      </c>
      <c r="H892" s="325" t="s">
        <v>2035</v>
      </c>
      <c r="I892" s="325" t="s">
        <v>2570</v>
      </c>
      <c r="J892" s="328">
        <v>21</v>
      </c>
      <c r="K892" s="329">
        <v>2145</v>
      </c>
      <c r="L892" s="325" t="s">
        <v>2645</v>
      </c>
      <c r="M892" s="326" t="s">
        <v>2076</v>
      </c>
      <c r="N892" s="326"/>
      <c r="O892" s="330">
        <v>203931.57</v>
      </c>
      <c r="P892" s="330">
        <v>3013.56</v>
      </c>
      <c r="Q892" s="331">
        <v>2145</v>
      </c>
      <c r="R892" s="330">
        <v>23</v>
      </c>
      <c r="S892" s="330">
        <v>1</v>
      </c>
      <c r="T892" s="326" t="s">
        <v>170</v>
      </c>
      <c r="U892" s="326" t="s">
        <v>2040</v>
      </c>
      <c r="V892" s="332">
        <v>14963</v>
      </c>
      <c r="W892" s="333"/>
    </row>
    <row r="893" spans="1:23" ht="45" customHeight="1" x14ac:dyDescent="0.4">
      <c r="A893" s="323">
        <v>833360</v>
      </c>
      <c r="B893" s="324" t="s">
        <v>5148</v>
      </c>
      <c r="C893" s="325" t="s">
        <v>3418</v>
      </c>
      <c r="D893" s="326" t="s">
        <v>2045</v>
      </c>
      <c r="E893" s="327" t="s">
        <v>1866</v>
      </c>
      <c r="F893" s="327" t="s">
        <v>5149</v>
      </c>
      <c r="G893" s="327" t="s">
        <v>383</v>
      </c>
      <c r="H893" s="325" t="s">
        <v>2035</v>
      </c>
      <c r="I893" s="325" t="s">
        <v>2570</v>
      </c>
      <c r="J893" s="328">
        <v>83</v>
      </c>
      <c r="K893" s="329">
        <v>8333</v>
      </c>
      <c r="L893" s="325" t="s">
        <v>3419</v>
      </c>
      <c r="M893" s="326" t="s">
        <v>2469</v>
      </c>
      <c r="N893" s="326"/>
      <c r="O893" s="330">
        <v>992706.18</v>
      </c>
      <c r="P893" s="330">
        <v>6526.82</v>
      </c>
      <c r="Q893" s="331">
        <v>8333</v>
      </c>
      <c r="R893" s="330">
        <v>400</v>
      </c>
      <c r="S893" s="330">
        <v>20</v>
      </c>
      <c r="T893" s="326" t="s">
        <v>170</v>
      </c>
      <c r="U893" s="326" t="s">
        <v>2040</v>
      </c>
      <c r="V893" s="332">
        <v>83410</v>
      </c>
      <c r="W893" s="333">
        <v>83315</v>
      </c>
    </row>
    <row r="894" spans="1:23" ht="45" customHeight="1" x14ac:dyDescent="0.4">
      <c r="A894" s="323">
        <v>833361</v>
      </c>
      <c r="B894" s="324" t="s">
        <v>5150</v>
      </c>
      <c r="C894" s="325" t="s">
        <v>3420</v>
      </c>
      <c r="D894" s="326" t="s">
        <v>2045</v>
      </c>
      <c r="E894" s="327" t="s">
        <v>1867</v>
      </c>
      <c r="F894" s="327" t="s">
        <v>5151</v>
      </c>
      <c r="G894" s="327" t="s">
        <v>1868</v>
      </c>
      <c r="H894" s="325" t="s">
        <v>2035</v>
      </c>
      <c r="I894" s="325" t="s">
        <v>2570</v>
      </c>
      <c r="J894" s="328">
        <v>83</v>
      </c>
      <c r="K894" s="329">
        <v>8334</v>
      </c>
      <c r="L894" s="325" t="s">
        <v>3421</v>
      </c>
      <c r="M894" s="326" t="s">
        <v>2469</v>
      </c>
      <c r="N894" s="326"/>
      <c r="O894" s="330">
        <v>1260736.8500000001</v>
      </c>
      <c r="P894" s="330">
        <v>6526.82</v>
      </c>
      <c r="Q894" s="331">
        <v>8334</v>
      </c>
      <c r="R894" s="330">
        <v>25</v>
      </c>
      <c r="S894" s="330">
        <v>5</v>
      </c>
      <c r="T894" s="326" t="s">
        <v>170</v>
      </c>
      <c r="U894" s="326" t="s">
        <v>2040</v>
      </c>
      <c r="V894" s="332">
        <v>83420</v>
      </c>
      <c r="W894" s="333" t="s">
        <v>228</v>
      </c>
    </row>
    <row r="895" spans="1:23" ht="45" customHeight="1" x14ac:dyDescent="0.4">
      <c r="A895" s="323">
        <v>841161</v>
      </c>
      <c r="B895" s="324" t="s">
        <v>5152</v>
      </c>
      <c r="C895" s="325" t="s">
        <v>3422</v>
      </c>
      <c r="D895" s="326" t="s">
        <v>2034</v>
      </c>
      <c r="E895" s="327" t="s">
        <v>5153</v>
      </c>
      <c r="F895" s="327"/>
      <c r="G895" s="327" t="s">
        <v>1869</v>
      </c>
      <c r="H895" s="325" t="s">
        <v>2035</v>
      </c>
      <c r="I895" s="325" t="s">
        <v>2570</v>
      </c>
      <c r="J895" s="328">
        <v>84</v>
      </c>
      <c r="K895" s="329">
        <v>8421</v>
      </c>
      <c r="L895" s="325" t="s">
        <v>3423</v>
      </c>
      <c r="M895" s="326" t="s">
        <v>2039</v>
      </c>
      <c r="N895" s="326"/>
      <c r="O895" s="330">
        <v>205.77</v>
      </c>
      <c r="P895" s="330">
        <v>0.98</v>
      </c>
      <c r="Q895" s="331">
        <v>8421</v>
      </c>
      <c r="R895" s="330">
        <v>440000</v>
      </c>
      <c r="S895" s="330">
        <v>6700</v>
      </c>
      <c r="T895" s="326" t="s">
        <v>170</v>
      </c>
      <c r="U895" s="326" t="s">
        <v>2040</v>
      </c>
      <c r="V895" s="332">
        <v>84215</v>
      </c>
      <c r="W895" s="333">
        <v>84120</v>
      </c>
    </row>
    <row r="896" spans="1:23" ht="45" customHeight="1" x14ac:dyDescent="0.4">
      <c r="A896" s="323">
        <v>841162</v>
      </c>
      <c r="B896" s="324" t="s">
        <v>5154</v>
      </c>
      <c r="C896" s="325" t="s">
        <v>3424</v>
      </c>
      <c r="D896" s="326" t="s">
        <v>2045</v>
      </c>
      <c r="E896" s="327" t="s">
        <v>1870</v>
      </c>
      <c r="F896" s="327"/>
      <c r="G896" s="327" t="s">
        <v>1871</v>
      </c>
      <c r="H896" s="325" t="s">
        <v>2035</v>
      </c>
      <c r="I896" s="325" t="s">
        <v>2570</v>
      </c>
      <c r="J896" s="328">
        <v>84</v>
      </c>
      <c r="K896" s="329">
        <v>8414</v>
      </c>
      <c r="L896" s="325" t="s">
        <v>3425</v>
      </c>
      <c r="M896" s="326" t="s">
        <v>3383</v>
      </c>
      <c r="N896" s="326"/>
      <c r="O896" s="330">
        <v>58.84</v>
      </c>
      <c r="P896" s="330">
        <v>6.82</v>
      </c>
      <c r="Q896" s="331">
        <v>8414</v>
      </c>
      <c r="R896" s="330">
        <v>8000</v>
      </c>
      <c r="S896" s="330">
        <v>440</v>
      </c>
      <c r="T896" s="326" t="s">
        <v>170</v>
      </c>
      <c r="U896" s="326" t="s">
        <v>2040</v>
      </c>
      <c r="V896" s="332" t="s">
        <v>228</v>
      </c>
      <c r="W896" s="333" t="s">
        <v>228</v>
      </c>
    </row>
    <row r="897" spans="1:263" ht="45" customHeight="1" x14ac:dyDescent="0.4">
      <c r="A897" s="323">
        <v>841163</v>
      </c>
      <c r="B897" s="324" t="s">
        <v>5155</v>
      </c>
      <c r="C897" s="325" t="s">
        <v>3426</v>
      </c>
      <c r="D897" s="326" t="s">
        <v>2045</v>
      </c>
      <c r="E897" s="327" t="s">
        <v>1872</v>
      </c>
      <c r="F897" s="327"/>
      <c r="G897" s="327" t="s">
        <v>1873</v>
      </c>
      <c r="H897" s="325" t="s">
        <v>2035</v>
      </c>
      <c r="I897" s="325" t="s">
        <v>2570</v>
      </c>
      <c r="J897" s="328">
        <v>84</v>
      </c>
      <c r="K897" s="329">
        <v>8414</v>
      </c>
      <c r="L897" s="325" t="s">
        <v>3425</v>
      </c>
      <c r="M897" s="326" t="s">
        <v>3383</v>
      </c>
      <c r="N897" s="326"/>
      <c r="O897" s="330">
        <v>58.84</v>
      </c>
      <c r="P897" s="330">
        <v>6.82</v>
      </c>
      <c r="Q897" s="331">
        <v>8414</v>
      </c>
      <c r="R897" s="330">
        <v>8000</v>
      </c>
      <c r="S897" s="330">
        <v>440</v>
      </c>
      <c r="T897" s="326" t="s">
        <v>170</v>
      </c>
      <c r="U897" s="326" t="s">
        <v>2040</v>
      </c>
      <c r="V897" s="332" t="s">
        <v>228</v>
      </c>
      <c r="W897" s="333" t="s">
        <v>228</v>
      </c>
      <c r="X897" s="322"/>
      <c r="Y897" s="322"/>
      <c r="Z897" s="322"/>
      <c r="AA897" s="322"/>
      <c r="AB897" s="322"/>
      <c r="AC897" s="322"/>
      <c r="AD897" s="322"/>
      <c r="AE897" s="322"/>
      <c r="AF897" s="322"/>
      <c r="AG897" s="322"/>
      <c r="AH897" s="322"/>
      <c r="AI897" s="322"/>
      <c r="AJ897" s="322"/>
      <c r="AK897" s="322"/>
      <c r="AL897" s="322"/>
      <c r="AM897" s="322"/>
      <c r="AN897" s="322"/>
      <c r="AO897" s="322"/>
      <c r="AP897" s="322"/>
      <c r="AQ897" s="322"/>
      <c r="AR897" s="322"/>
      <c r="AS897" s="322"/>
      <c r="AT897" s="322"/>
      <c r="AU897" s="322"/>
      <c r="AV897" s="322"/>
      <c r="AW897" s="322"/>
      <c r="AX897" s="322"/>
      <c r="AY897" s="322"/>
      <c r="AZ897" s="322"/>
      <c r="BA897" s="322"/>
      <c r="BB897" s="322"/>
      <c r="BC897" s="322"/>
      <c r="BD897" s="322"/>
      <c r="BE897" s="322"/>
      <c r="BF897" s="322"/>
      <c r="BG897" s="322"/>
      <c r="BH897" s="322"/>
      <c r="BI897" s="322"/>
      <c r="BJ897" s="322"/>
      <c r="BK897" s="322"/>
      <c r="BL897" s="322"/>
      <c r="BM897" s="322"/>
      <c r="BN897" s="322"/>
      <c r="BO897" s="322"/>
      <c r="BP897" s="322"/>
      <c r="BQ897" s="322"/>
      <c r="BR897" s="322"/>
      <c r="BS897" s="322"/>
      <c r="BT897" s="322"/>
      <c r="BU897" s="322"/>
      <c r="BV897" s="322"/>
      <c r="BW897" s="322"/>
      <c r="BX897" s="322"/>
      <c r="BY897" s="322"/>
      <c r="BZ897" s="322"/>
      <c r="CA897" s="322"/>
      <c r="CB897" s="322"/>
      <c r="CC897" s="322"/>
      <c r="CD897" s="322"/>
      <c r="CE897" s="322"/>
      <c r="CF897" s="322"/>
      <c r="CG897" s="322"/>
      <c r="CH897" s="322"/>
      <c r="CI897" s="322"/>
      <c r="CJ897" s="322"/>
      <c r="CK897" s="322"/>
      <c r="CL897" s="322"/>
      <c r="CM897" s="322"/>
      <c r="CN897" s="322"/>
      <c r="CO897" s="322"/>
      <c r="CP897" s="322"/>
      <c r="CQ897" s="322"/>
      <c r="CR897" s="322"/>
      <c r="CS897" s="322"/>
      <c r="CT897" s="322"/>
      <c r="CU897" s="322"/>
      <c r="CV897" s="322"/>
      <c r="CW897" s="322"/>
      <c r="CX897" s="322"/>
      <c r="CY897" s="322"/>
      <c r="CZ897" s="322"/>
      <c r="DA897" s="322"/>
      <c r="DB897" s="322"/>
      <c r="DC897" s="322"/>
      <c r="DD897" s="322"/>
      <c r="DE897" s="322"/>
      <c r="DF897" s="322"/>
      <c r="DG897" s="322"/>
      <c r="DH897" s="322"/>
      <c r="DI897" s="322"/>
      <c r="DJ897" s="322"/>
      <c r="DK897" s="322"/>
      <c r="DL897" s="322"/>
      <c r="DM897" s="322"/>
      <c r="DN897" s="322"/>
      <c r="DO897" s="322"/>
      <c r="DP897" s="322"/>
      <c r="DQ897" s="322"/>
      <c r="DR897" s="322"/>
      <c r="DS897" s="322"/>
      <c r="DT897" s="322"/>
      <c r="DU897" s="322"/>
      <c r="DV897" s="322"/>
      <c r="DW897" s="322"/>
      <c r="DX897" s="322"/>
      <c r="DY897" s="322"/>
      <c r="DZ897" s="322"/>
      <c r="EA897" s="322"/>
      <c r="EB897" s="322"/>
      <c r="EC897" s="322"/>
      <c r="ED897" s="322"/>
      <c r="EE897" s="322"/>
      <c r="EF897" s="322"/>
      <c r="EG897" s="322"/>
      <c r="EH897" s="322"/>
      <c r="EI897" s="322"/>
      <c r="EJ897" s="322"/>
      <c r="EK897" s="322"/>
      <c r="EL897" s="322"/>
      <c r="EM897" s="322"/>
      <c r="EN897" s="322"/>
      <c r="EO897" s="322"/>
      <c r="EP897" s="322"/>
      <c r="EQ897" s="322"/>
      <c r="ER897" s="322"/>
      <c r="ES897" s="322"/>
      <c r="ET897" s="322"/>
      <c r="EU897" s="322"/>
      <c r="EV897" s="322"/>
      <c r="EW897" s="322"/>
      <c r="EX897" s="322"/>
      <c r="EY897" s="322"/>
      <c r="EZ897" s="322"/>
      <c r="FA897" s="322"/>
      <c r="FB897" s="322"/>
      <c r="FC897" s="322"/>
      <c r="FD897" s="322"/>
      <c r="FE897" s="322"/>
      <c r="FF897" s="322"/>
      <c r="FG897" s="322"/>
      <c r="FH897" s="322"/>
      <c r="FI897" s="322"/>
      <c r="FJ897" s="322"/>
      <c r="FK897" s="322"/>
      <c r="FL897" s="322"/>
      <c r="FM897" s="322"/>
      <c r="FN897" s="322"/>
      <c r="FO897" s="322"/>
      <c r="FP897" s="322"/>
      <c r="FQ897" s="322"/>
      <c r="FR897" s="322"/>
      <c r="FS897" s="322"/>
      <c r="FT897" s="322"/>
      <c r="FU897" s="322"/>
      <c r="FV897" s="322"/>
      <c r="FW897" s="322"/>
      <c r="FX897" s="322"/>
      <c r="FY897" s="322"/>
      <c r="FZ897" s="322"/>
      <c r="GA897" s="322"/>
      <c r="GB897" s="322"/>
      <c r="GC897" s="322"/>
      <c r="GD897" s="322"/>
      <c r="GE897" s="322"/>
      <c r="GF897" s="322"/>
      <c r="GG897" s="322"/>
      <c r="GH897" s="322"/>
      <c r="GI897" s="322"/>
      <c r="GJ897" s="322"/>
      <c r="GK897" s="322"/>
      <c r="GL897" s="322"/>
      <c r="GM897" s="322"/>
      <c r="GN897" s="322"/>
      <c r="GO897" s="322"/>
      <c r="GP897" s="322"/>
      <c r="GQ897" s="322"/>
      <c r="GR897" s="322"/>
      <c r="GS897" s="322"/>
      <c r="GT897" s="322"/>
      <c r="GU897" s="322"/>
      <c r="GV897" s="322"/>
      <c r="GW897" s="322"/>
      <c r="GX897" s="322"/>
      <c r="GY897" s="322"/>
      <c r="GZ897" s="322"/>
      <c r="HA897" s="322"/>
      <c r="HB897" s="322"/>
      <c r="HC897" s="322"/>
      <c r="HD897" s="322"/>
      <c r="HE897" s="322"/>
      <c r="HF897" s="322"/>
      <c r="HG897" s="322"/>
      <c r="HH897" s="322"/>
      <c r="HI897" s="322"/>
      <c r="HJ897" s="322"/>
      <c r="HK897" s="322"/>
      <c r="HL897" s="322"/>
      <c r="HM897" s="322"/>
      <c r="HN897" s="322"/>
      <c r="HO897" s="322"/>
      <c r="HP897" s="322"/>
      <c r="HQ897" s="322"/>
      <c r="HR897" s="322"/>
      <c r="HS897" s="322"/>
      <c r="HT897" s="322"/>
      <c r="HU897" s="322"/>
      <c r="HV897" s="322"/>
      <c r="HW897" s="322"/>
      <c r="HX897" s="322"/>
      <c r="HY897" s="322"/>
      <c r="HZ897" s="322"/>
      <c r="IA897" s="322"/>
      <c r="IB897" s="322"/>
      <c r="IC897" s="322"/>
      <c r="ID897" s="322"/>
      <c r="IE897" s="322"/>
      <c r="IF897" s="322"/>
      <c r="IG897" s="322"/>
      <c r="IH897" s="322"/>
      <c r="II897" s="322"/>
      <c r="IJ897" s="322"/>
      <c r="IK897" s="322"/>
      <c r="IL897" s="322"/>
      <c r="IM897" s="322"/>
      <c r="IN897" s="322"/>
      <c r="IO897" s="322"/>
      <c r="IP897" s="322"/>
      <c r="IQ897" s="322"/>
      <c r="IR897" s="322"/>
      <c r="IS897" s="322"/>
      <c r="IT897" s="322"/>
      <c r="IU897" s="322"/>
      <c r="IV897" s="322"/>
      <c r="IW897" s="322"/>
      <c r="IX897" s="322"/>
      <c r="IY897" s="322"/>
      <c r="IZ897" s="322"/>
      <c r="JA897" s="322"/>
      <c r="JB897" s="322"/>
      <c r="JC897" s="322"/>
    </row>
    <row r="898" spans="1:263" ht="45" customHeight="1" x14ac:dyDescent="0.4">
      <c r="A898" s="323">
        <v>841165</v>
      </c>
      <c r="B898" s="324" t="s">
        <v>5156</v>
      </c>
      <c r="C898" s="325" t="s">
        <v>3427</v>
      </c>
      <c r="D898" s="326" t="s">
        <v>2045</v>
      </c>
      <c r="E898" s="327" t="s">
        <v>1874</v>
      </c>
      <c r="F898" s="327"/>
      <c r="G898" s="327" t="s">
        <v>1875</v>
      </c>
      <c r="H898" s="325" t="s">
        <v>2035</v>
      </c>
      <c r="I898" s="325" t="s">
        <v>2570</v>
      </c>
      <c r="J898" s="328">
        <v>84</v>
      </c>
      <c r="K898" s="329">
        <v>8412</v>
      </c>
      <c r="L898" s="325" t="s">
        <v>3428</v>
      </c>
      <c r="M898" s="326" t="s">
        <v>3383</v>
      </c>
      <c r="N898" s="326"/>
      <c r="O898" s="330">
        <v>8648.64</v>
      </c>
      <c r="P898" s="330">
        <v>43.38</v>
      </c>
      <c r="Q898" s="331">
        <v>8412</v>
      </c>
      <c r="R898" s="330">
        <v>13000</v>
      </c>
      <c r="S898" s="330">
        <v>670</v>
      </c>
      <c r="T898" s="326" t="s">
        <v>170</v>
      </c>
      <c r="U898" s="326" t="s">
        <v>2040</v>
      </c>
      <c r="V898" s="332">
        <v>84110</v>
      </c>
      <c r="W898" s="333" t="s">
        <v>3429</v>
      </c>
    </row>
    <row r="899" spans="1:263" ht="45" customHeight="1" x14ac:dyDescent="0.4">
      <c r="A899" s="323">
        <v>841166</v>
      </c>
      <c r="B899" s="324" t="s">
        <v>5157</v>
      </c>
      <c r="C899" s="325" t="s">
        <v>3430</v>
      </c>
      <c r="D899" s="326" t="s">
        <v>2045</v>
      </c>
      <c r="E899" s="327" t="s">
        <v>5158</v>
      </c>
      <c r="F899" s="327"/>
      <c r="G899" s="327" t="s">
        <v>1876</v>
      </c>
      <c r="H899" s="325" t="s">
        <v>2035</v>
      </c>
      <c r="I899" s="325" t="s">
        <v>2570</v>
      </c>
      <c r="J899" s="328">
        <v>84</v>
      </c>
      <c r="K899" s="329">
        <v>8414</v>
      </c>
      <c r="L899" s="325" t="s">
        <v>3425</v>
      </c>
      <c r="M899" s="326" t="s">
        <v>3383</v>
      </c>
      <c r="N899" s="326"/>
      <c r="O899" s="330">
        <v>58.84</v>
      </c>
      <c r="P899" s="330">
        <v>6.82</v>
      </c>
      <c r="Q899" s="331">
        <v>8414</v>
      </c>
      <c r="R899" s="330">
        <v>8000</v>
      </c>
      <c r="S899" s="330">
        <v>440</v>
      </c>
      <c r="T899" s="326" t="s">
        <v>170</v>
      </c>
      <c r="U899" s="326" t="s">
        <v>2040</v>
      </c>
      <c r="V899" s="332">
        <v>84130</v>
      </c>
      <c r="W899" s="333">
        <v>84150</v>
      </c>
    </row>
    <row r="900" spans="1:263" ht="45" customHeight="1" x14ac:dyDescent="0.4">
      <c r="A900" s="323">
        <v>841169</v>
      </c>
      <c r="B900" s="324" t="s">
        <v>5159</v>
      </c>
      <c r="C900" s="325" t="s">
        <v>3431</v>
      </c>
      <c r="D900" s="326" t="s">
        <v>2084</v>
      </c>
      <c r="E900" s="327" t="s">
        <v>1877</v>
      </c>
      <c r="F900" s="327"/>
      <c r="G900" s="327" t="s">
        <v>1878</v>
      </c>
      <c r="H900" s="325" t="s">
        <v>2035</v>
      </c>
      <c r="I900" s="325" t="s">
        <v>2570</v>
      </c>
      <c r="J900" s="328">
        <v>89</v>
      </c>
      <c r="K900" s="329">
        <v>8910</v>
      </c>
      <c r="L900" s="325" t="s">
        <v>3319</v>
      </c>
      <c r="M900" s="326" t="s">
        <v>226</v>
      </c>
      <c r="N900" s="326"/>
      <c r="O900" s="330">
        <v>265.08</v>
      </c>
      <c r="P900" s="330">
        <v>7.01</v>
      </c>
      <c r="Q900" s="331">
        <v>8910</v>
      </c>
      <c r="R900" s="330">
        <v>150000</v>
      </c>
      <c r="S900" s="330">
        <v>1300</v>
      </c>
      <c r="T900" s="326" t="s">
        <v>170</v>
      </c>
      <c r="U900" s="326" t="s">
        <v>2040</v>
      </c>
      <c r="V900" s="332" t="s">
        <v>3432</v>
      </c>
      <c r="W900" s="333" t="s">
        <v>3433</v>
      </c>
    </row>
    <row r="901" spans="1:263" ht="45" customHeight="1" x14ac:dyDescent="0.4">
      <c r="A901" s="323">
        <v>841423</v>
      </c>
      <c r="B901" s="324" t="s">
        <v>5160</v>
      </c>
      <c r="C901" s="325" t="s">
        <v>3434</v>
      </c>
      <c r="D901" s="326" t="s">
        <v>2045</v>
      </c>
      <c r="E901" s="327" t="s">
        <v>1879</v>
      </c>
      <c r="F901" s="327"/>
      <c r="G901" s="327" t="s">
        <v>1880</v>
      </c>
      <c r="H901" s="325" t="s">
        <v>2035</v>
      </c>
      <c r="I901" s="325" t="s">
        <v>2570</v>
      </c>
      <c r="J901" s="328">
        <v>87</v>
      </c>
      <c r="K901" s="329">
        <v>8713</v>
      </c>
      <c r="L901" s="325" t="s">
        <v>3435</v>
      </c>
      <c r="M901" s="326" t="s">
        <v>2076</v>
      </c>
      <c r="N901" s="326"/>
      <c r="O901" s="330">
        <v>2517030.0299999998</v>
      </c>
      <c r="P901" s="330">
        <v>3391.79</v>
      </c>
      <c r="Q901" s="331">
        <v>8713</v>
      </c>
      <c r="R901" s="330">
        <v>1</v>
      </c>
      <c r="S901" s="330">
        <v>1</v>
      </c>
      <c r="T901" s="326" t="s">
        <v>170</v>
      </c>
      <c r="U901" s="326" t="s">
        <v>2040</v>
      </c>
      <c r="V901" s="332">
        <v>89270</v>
      </c>
      <c r="W901" s="333" t="s">
        <v>228</v>
      </c>
    </row>
    <row r="902" spans="1:263" ht="45" customHeight="1" x14ac:dyDescent="0.4">
      <c r="A902" s="323">
        <v>841425</v>
      </c>
      <c r="B902" s="324" t="s">
        <v>5161</v>
      </c>
      <c r="C902" s="325" t="s">
        <v>3436</v>
      </c>
      <c r="D902" s="326" t="s">
        <v>2045</v>
      </c>
      <c r="E902" s="327" t="s">
        <v>1881</v>
      </c>
      <c r="F902" s="327" t="s">
        <v>3902</v>
      </c>
      <c r="G902" s="327" t="s">
        <v>1882</v>
      </c>
      <c r="H902" s="325" t="s">
        <v>2035</v>
      </c>
      <c r="I902" s="325" t="s">
        <v>2570</v>
      </c>
      <c r="J902" s="328">
        <v>84</v>
      </c>
      <c r="K902" s="329">
        <v>8443</v>
      </c>
      <c r="L902" s="325" t="s">
        <v>3437</v>
      </c>
      <c r="M902" s="326" t="s">
        <v>2101</v>
      </c>
      <c r="N902" s="326"/>
      <c r="O902" s="330">
        <v>0</v>
      </c>
      <c r="P902" s="330">
        <v>0</v>
      </c>
      <c r="Q902" s="331">
        <v>8443</v>
      </c>
      <c r="R902" s="330">
        <v>90000000</v>
      </c>
      <c r="S902" s="330">
        <v>4500000</v>
      </c>
      <c r="T902" s="326" t="s">
        <v>170</v>
      </c>
      <c r="U902" s="326" t="s">
        <v>2040</v>
      </c>
      <c r="V902" s="332" t="s">
        <v>3438</v>
      </c>
      <c r="W902" s="333" t="s">
        <v>3439</v>
      </c>
    </row>
    <row r="903" spans="1:263" ht="45" customHeight="1" x14ac:dyDescent="0.4">
      <c r="A903" s="323">
        <v>841426</v>
      </c>
      <c r="B903" s="324" t="s">
        <v>5162</v>
      </c>
      <c r="C903" s="325" t="s">
        <v>3440</v>
      </c>
      <c r="D903" s="326" t="s">
        <v>2045</v>
      </c>
      <c r="E903" s="327" t="s">
        <v>5163</v>
      </c>
      <c r="F903" s="327" t="s">
        <v>5164</v>
      </c>
      <c r="G903" s="327" t="s">
        <v>383</v>
      </c>
      <c r="H903" s="325" t="e">
        <v>#N/A</v>
      </c>
      <c r="I903" s="325" t="e">
        <v>#N/A</v>
      </c>
      <c r="J903" s="328">
        <v>87</v>
      </c>
      <c r="K903" s="329">
        <v>8715</v>
      </c>
      <c r="L903" s="325" t="s">
        <v>3441</v>
      </c>
      <c r="M903" s="326" t="s">
        <v>2101</v>
      </c>
      <c r="N903" s="326"/>
      <c r="O903" s="330">
        <v>0.3</v>
      </c>
      <c r="P903" s="330">
        <v>0</v>
      </c>
      <c r="Q903" s="331">
        <v>8715</v>
      </c>
      <c r="R903" s="330">
        <v>75000000</v>
      </c>
      <c r="S903" s="330">
        <v>3500000</v>
      </c>
      <c r="T903" s="326" t="s">
        <v>170</v>
      </c>
      <c r="U903" s="326" t="s">
        <v>2040</v>
      </c>
      <c r="V903" s="332" t="s">
        <v>228</v>
      </c>
      <c r="W903" s="333">
        <v>87116</v>
      </c>
    </row>
    <row r="904" spans="1:263" ht="45" customHeight="1" x14ac:dyDescent="0.4">
      <c r="A904" s="323">
        <v>841427</v>
      </c>
      <c r="B904" s="324" t="s">
        <v>5165</v>
      </c>
      <c r="C904" s="325" t="s">
        <v>3442</v>
      </c>
      <c r="D904" s="326" t="s">
        <v>2045</v>
      </c>
      <c r="E904" s="327" t="s">
        <v>1883</v>
      </c>
      <c r="F904" s="327"/>
      <c r="G904" s="327" t="s">
        <v>1884</v>
      </c>
      <c r="H904" s="325" t="s">
        <v>2035</v>
      </c>
      <c r="I904" s="325" t="s">
        <v>2570</v>
      </c>
      <c r="J904" s="328">
        <v>84</v>
      </c>
      <c r="K904" s="329">
        <v>8413</v>
      </c>
      <c r="L904" s="325" t="s">
        <v>3443</v>
      </c>
      <c r="M904" s="326" t="s">
        <v>2101</v>
      </c>
      <c r="N904" s="326"/>
      <c r="O904" s="330">
        <v>1.64</v>
      </c>
      <c r="P904" s="330">
        <v>0</v>
      </c>
      <c r="Q904" s="331">
        <v>8413</v>
      </c>
      <c r="R904" s="330">
        <v>2000000</v>
      </c>
      <c r="S904" s="330">
        <v>270000</v>
      </c>
      <c r="T904" s="326" t="s">
        <v>170</v>
      </c>
      <c r="U904" s="326" t="s">
        <v>2040</v>
      </c>
      <c r="V904" s="332">
        <v>84610</v>
      </c>
      <c r="W904" s="333" t="s">
        <v>3444</v>
      </c>
    </row>
    <row r="905" spans="1:263" ht="45" customHeight="1" x14ac:dyDescent="0.4">
      <c r="A905" s="323">
        <v>842245</v>
      </c>
      <c r="B905" s="324" t="s">
        <v>3423</v>
      </c>
      <c r="C905" s="325" t="s">
        <v>3445</v>
      </c>
      <c r="D905" s="326" t="s">
        <v>2034</v>
      </c>
      <c r="E905" s="327" t="s">
        <v>5166</v>
      </c>
      <c r="F905" s="327" t="s">
        <v>5167</v>
      </c>
      <c r="G905" s="327" t="s">
        <v>3760</v>
      </c>
      <c r="H905" s="325" t="s">
        <v>2035</v>
      </c>
      <c r="I905" s="325" t="s">
        <v>2570</v>
      </c>
      <c r="J905" s="328">
        <v>84</v>
      </c>
      <c r="K905" s="329">
        <v>8421</v>
      </c>
      <c r="L905" s="325" t="s">
        <v>3423</v>
      </c>
      <c r="M905" s="326" t="s">
        <v>2039</v>
      </c>
      <c r="N905" s="326"/>
      <c r="O905" s="330">
        <v>205.77</v>
      </c>
      <c r="P905" s="330">
        <v>0.98</v>
      </c>
      <c r="Q905" s="331">
        <v>8421</v>
      </c>
      <c r="R905" s="330">
        <v>440000</v>
      </c>
      <c r="S905" s="330">
        <v>6700</v>
      </c>
      <c r="T905" s="326" t="s">
        <v>170</v>
      </c>
      <c r="U905" s="326" t="s">
        <v>2040</v>
      </c>
      <c r="V905" s="332">
        <v>84210</v>
      </c>
      <c r="W905" s="333">
        <v>84210</v>
      </c>
    </row>
    <row r="906" spans="1:263" ht="45" customHeight="1" x14ac:dyDescent="0.4">
      <c r="A906" s="323">
        <v>842249</v>
      </c>
      <c r="B906" s="324" t="s">
        <v>5168</v>
      </c>
      <c r="C906" s="325" t="s">
        <v>3446</v>
      </c>
      <c r="D906" s="326" t="s">
        <v>2045</v>
      </c>
      <c r="E906" s="327" t="s">
        <v>1885</v>
      </c>
      <c r="F906" s="327" t="s">
        <v>5169</v>
      </c>
      <c r="G906" s="327" t="s">
        <v>1886</v>
      </c>
      <c r="H906" s="325" t="s">
        <v>2035</v>
      </c>
      <c r="I906" s="325" t="s">
        <v>2570</v>
      </c>
      <c r="J906" s="328">
        <v>84</v>
      </c>
      <c r="K906" s="329">
        <v>8422</v>
      </c>
      <c r="L906" s="325" t="s">
        <v>3447</v>
      </c>
      <c r="M906" s="326" t="s">
        <v>3383</v>
      </c>
      <c r="N906" s="326"/>
      <c r="O906" s="330">
        <v>72.22</v>
      </c>
      <c r="P906" s="330">
        <v>5.43</v>
      </c>
      <c r="Q906" s="331">
        <v>8422</v>
      </c>
      <c r="R906" s="330">
        <v>14000</v>
      </c>
      <c r="S906" s="330">
        <v>2000</v>
      </c>
      <c r="T906" s="326" t="s">
        <v>170</v>
      </c>
      <c r="U906" s="326" t="s">
        <v>2040</v>
      </c>
      <c r="V906" s="332">
        <v>84141</v>
      </c>
      <c r="W906" s="333">
        <v>84215</v>
      </c>
    </row>
    <row r="907" spans="1:263" ht="45" customHeight="1" x14ac:dyDescent="0.4">
      <c r="A907" s="323">
        <v>843101</v>
      </c>
      <c r="B907" s="324" t="s">
        <v>5170</v>
      </c>
      <c r="C907" s="325" t="s">
        <v>3448</v>
      </c>
      <c r="D907" s="326" t="s">
        <v>2045</v>
      </c>
      <c r="E907" s="327" t="s">
        <v>5171</v>
      </c>
      <c r="F907" s="327"/>
      <c r="G907" s="327" t="s">
        <v>383</v>
      </c>
      <c r="H907" s="325" t="e">
        <v>#N/A</v>
      </c>
      <c r="I907" s="325" t="e">
        <v>#N/A</v>
      </c>
      <c r="J907" s="328">
        <v>84</v>
      </c>
      <c r="K907" s="329">
        <v>8431</v>
      </c>
      <c r="L907" s="325" t="s">
        <v>3903</v>
      </c>
      <c r="M907" s="326" t="s">
        <v>2091</v>
      </c>
      <c r="N907" s="326"/>
      <c r="O907" s="330">
        <v>201.4</v>
      </c>
      <c r="P907" s="330">
        <v>0.6</v>
      </c>
      <c r="Q907" s="331">
        <v>8431</v>
      </c>
      <c r="R907" s="330">
        <v>1000</v>
      </c>
      <c r="S907" s="330">
        <v>1000</v>
      </c>
      <c r="T907" s="326" t="s">
        <v>170</v>
      </c>
      <c r="U907" s="326" t="s">
        <v>2040</v>
      </c>
      <c r="V907" s="332" t="s">
        <v>228</v>
      </c>
      <c r="W907" s="333">
        <v>84340</v>
      </c>
    </row>
    <row r="908" spans="1:263" ht="45" customHeight="1" x14ac:dyDescent="0.4">
      <c r="A908" s="323">
        <v>843301</v>
      </c>
      <c r="B908" s="324" t="s">
        <v>5172</v>
      </c>
      <c r="C908" s="325" t="s">
        <v>3449</v>
      </c>
      <c r="D908" s="326" t="s">
        <v>2045</v>
      </c>
      <c r="E908" s="327" t="s">
        <v>5173</v>
      </c>
      <c r="F908" s="327"/>
      <c r="G908" s="327" t="s">
        <v>383</v>
      </c>
      <c r="H908" s="325" t="e">
        <v>#N/A</v>
      </c>
      <c r="I908" s="325" t="e">
        <v>#N/A</v>
      </c>
      <c r="J908" s="328">
        <v>84</v>
      </c>
      <c r="K908" s="329">
        <v>8433</v>
      </c>
      <c r="L908" s="325" t="s">
        <v>3450</v>
      </c>
      <c r="M908" s="326" t="s">
        <v>2101</v>
      </c>
      <c r="N908" s="326"/>
      <c r="O908" s="330">
        <v>0</v>
      </c>
      <c r="P908" s="330">
        <v>0</v>
      </c>
      <c r="Q908" s="331">
        <v>8433</v>
      </c>
      <c r="R908" s="330">
        <v>4000000</v>
      </c>
      <c r="S908" s="330">
        <v>350000</v>
      </c>
      <c r="T908" s="326" t="s">
        <v>170</v>
      </c>
      <c r="U908" s="326" t="s">
        <v>2040</v>
      </c>
      <c r="V908" s="332">
        <v>84730</v>
      </c>
      <c r="W908" s="333">
        <v>84335</v>
      </c>
    </row>
    <row r="909" spans="1:263" ht="45" customHeight="1" x14ac:dyDescent="0.4">
      <c r="A909" s="323">
        <v>843314</v>
      </c>
      <c r="B909" s="324" t="s">
        <v>5174</v>
      </c>
      <c r="C909" s="325" t="s">
        <v>3451</v>
      </c>
      <c r="D909" s="326" t="s">
        <v>2034</v>
      </c>
      <c r="E909" s="327" t="s">
        <v>1887</v>
      </c>
      <c r="F909" s="327"/>
      <c r="G909" s="327" t="s">
        <v>1888</v>
      </c>
      <c r="H909" s="325" t="s">
        <v>2035</v>
      </c>
      <c r="I909" s="325" t="s">
        <v>2570</v>
      </c>
      <c r="J909" s="328">
        <v>84</v>
      </c>
      <c r="K909" s="329">
        <v>8432</v>
      </c>
      <c r="L909" s="325" t="s">
        <v>3452</v>
      </c>
      <c r="M909" s="326" t="s">
        <v>2039</v>
      </c>
      <c r="N909" s="326"/>
      <c r="O909" s="330">
        <v>425.76</v>
      </c>
      <c r="P909" s="330">
        <v>0.98</v>
      </c>
      <c r="Q909" s="331">
        <v>8432</v>
      </c>
      <c r="R909" s="330">
        <v>76000</v>
      </c>
      <c r="S909" s="330">
        <v>2800</v>
      </c>
      <c r="T909" s="326" t="s">
        <v>170</v>
      </c>
      <c r="U909" s="326" t="s">
        <v>2040</v>
      </c>
      <c r="V909" s="332">
        <v>84330</v>
      </c>
      <c r="W909" s="333">
        <v>84310</v>
      </c>
    </row>
    <row r="910" spans="1:263" ht="45" customHeight="1" x14ac:dyDescent="0.4">
      <c r="A910" s="323">
        <v>843316</v>
      </c>
      <c r="B910" s="324" t="s">
        <v>5175</v>
      </c>
      <c r="C910" s="325" t="s">
        <v>3453</v>
      </c>
      <c r="D910" s="326" t="s">
        <v>2045</v>
      </c>
      <c r="E910" s="327" t="s">
        <v>1889</v>
      </c>
      <c r="F910" s="327" t="s">
        <v>5176</v>
      </c>
      <c r="G910" s="327" t="s">
        <v>383</v>
      </c>
      <c r="H910" s="325" t="s">
        <v>2035</v>
      </c>
      <c r="I910" s="325" t="s">
        <v>2570</v>
      </c>
      <c r="J910" s="328">
        <v>84</v>
      </c>
      <c r="K910" s="329">
        <v>8434</v>
      </c>
      <c r="L910" s="325" t="s">
        <v>3454</v>
      </c>
      <c r="M910" s="326" t="s">
        <v>3383</v>
      </c>
      <c r="N910" s="326"/>
      <c r="O910" s="330">
        <v>72.22</v>
      </c>
      <c r="P910" s="330">
        <v>5.83</v>
      </c>
      <c r="Q910" s="331">
        <v>8434</v>
      </c>
      <c r="R910" s="330">
        <v>17000</v>
      </c>
      <c r="S910" s="330">
        <v>1900</v>
      </c>
      <c r="T910" s="326" t="s">
        <v>170</v>
      </c>
      <c r="U910" s="326" t="s">
        <v>2040</v>
      </c>
      <c r="V910" s="332" t="s">
        <v>228</v>
      </c>
      <c r="W910" s="333">
        <v>84320</v>
      </c>
    </row>
    <row r="911" spans="1:263" ht="45" customHeight="1" x14ac:dyDescent="0.4">
      <c r="A911" s="323">
        <v>843319</v>
      </c>
      <c r="B911" s="324" t="s">
        <v>5177</v>
      </c>
      <c r="C911" s="325" t="s">
        <v>3455</v>
      </c>
      <c r="D911" s="326" t="s">
        <v>2045</v>
      </c>
      <c r="E911" s="327" t="s">
        <v>1890</v>
      </c>
      <c r="F911" s="327"/>
      <c r="G911" s="327" t="s">
        <v>1891</v>
      </c>
      <c r="H911" s="325" t="s">
        <v>2035</v>
      </c>
      <c r="I911" s="325" t="s">
        <v>2570</v>
      </c>
      <c r="J911" s="328">
        <v>84</v>
      </c>
      <c r="K911" s="329">
        <v>8435</v>
      </c>
      <c r="L911" s="325" t="s">
        <v>3456</v>
      </c>
      <c r="M911" s="326" t="s">
        <v>2101</v>
      </c>
      <c r="N911" s="326"/>
      <c r="O911" s="330">
        <v>1.64</v>
      </c>
      <c r="P911" s="330">
        <v>0.06</v>
      </c>
      <c r="Q911" s="331">
        <v>8435</v>
      </c>
      <c r="R911" s="330">
        <v>1100000</v>
      </c>
      <c r="S911" s="330">
        <v>110000</v>
      </c>
      <c r="T911" s="326" t="s">
        <v>170</v>
      </c>
      <c r="U911" s="326" t="s">
        <v>2040</v>
      </c>
      <c r="V911" s="332" t="s">
        <v>228</v>
      </c>
      <c r="W911" s="333">
        <v>84330</v>
      </c>
    </row>
    <row r="912" spans="1:263" ht="45" customHeight="1" x14ac:dyDescent="0.4">
      <c r="A912" s="323">
        <v>844367</v>
      </c>
      <c r="B912" s="324" t="s">
        <v>5178</v>
      </c>
      <c r="C912" s="325" t="s">
        <v>3457</v>
      </c>
      <c r="D912" s="326" t="s">
        <v>2045</v>
      </c>
      <c r="E912" s="327" t="s">
        <v>1892</v>
      </c>
      <c r="F912" s="327"/>
      <c r="G912" s="327" t="s">
        <v>1893</v>
      </c>
      <c r="H912" s="325" t="s">
        <v>2035</v>
      </c>
      <c r="I912" s="325" t="s">
        <v>2570</v>
      </c>
      <c r="J912" s="328">
        <v>84</v>
      </c>
      <c r="K912" s="329">
        <v>8442</v>
      </c>
      <c r="L912" s="325" t="s">
        <v>3458</v>
      </c>
      <c r="M912" s="326" t="s">
        <v>2101</v>
      </c>
      <c r="N912" s="326"/>
      <c r="O912" s="330">
        <v>2.21</v>
      </c>
      <c r="P912" s="330">
        <v>0.01</v>
      </c>
      <c r="Q912" s="331">
        <v>8442</v>
      </c>
      <c r="R912" s="330">
        <v>2500000</v>
      </c>
      <c r="S912" s="330">
        <v>200000</v>
      </c>
      <c r="T912" s="326" t="s">
        <v>170</v>
      </c>
      <c r="U912" s="326" t="s">
        <v>2040</v>
      </c>
      <c r="V912" s="332">
        <v>84710</v>
      </c>
      <c r="W912" s="333" t="s">
        <v>3459</v>
      </c>
    </row>
    <row r="913" spans="1:23" ht="45" customHeight="1" x14ac:dyDescent="0.4">
      <c r="A913" s="323">
        <v>844368</v>
      </c>
      <c r="B913" s="324" t="s">
        <v>5179</v>
      </c>
      <c r="C913" s="325" t="s">
        <v>3460</v>
      </c>
      <c r="D913" s="326" t="s">
        <v>2045</v>
      </c>
      <c r="E913" s="327" t="s">
        <v>1894</v>
      </c>
      <c r="F913" s="327" t="s">
        <v>5180</v>
      </c>
      <c r="G913" s="327" t="s">
        <v>1895</v>
      </c>
      <c r="H913" s="325" t="s">
        <v>2035</v>
      </c>
      <c r="I913" s="325" t="s">
        <v>2570</v>
      </c>
      <c r="J913" s="328">
        <v>84</v>
      </c>
      <c r="K913" s="329">
        <v>8414</v>
      </c>
      <c r="L913" s="325" t="s">
        <v>3425</v>
      </c>
      <c r="M913" s="326" t="s">
        <v>3383</v>
      </c>
      <c r="N913" s="326"/>
      <c r="O913" s="330">
        <v>58.84</v>
      </c>
      <c r="P913" s="330">
        <v>6.82</v>
      </c>
      <c r="Q913" s="331">
        <v>8414</v>
      </c>
      <c r="R913" s="330">
        <v>8000</v>
      </c>
      <c r="S913" s="330">
        <v>440</v>
      </c>
      <c r="T913" s="326" t="s">
        <v>170</v>
      </c>
      <c r="U913" s="326" t="s">
        <v>2040</v>
      </c>
      <c r="V913" s="332">
        <v>84470</v>
      </c>
      <c r="W913" s="333">
        <v>84420</v>
      </c>
    </row>
    <row r="914" spans="1:23" ht="45" customHeight="1" x14ac:dyDescent="0.4">
      <c r="A914" s="323">
        <v>844400</v>
      </c>
      <c r="B914" s="324" t="s">
        <v>5181</v>
      </c>
      <c r="C914" s="325" t="s">
        <v>3461</v>
      </c>
      <c r="D914" s="326" t="s">
        <v>2045</v>
      </c>
      <c r="E914" s="327" t="s">
        <v>5182</v>
      </c>
      <c r="F914" s="327"/>
      <c r="G914" s="327" t="s">
        <v>383</v>
      </c>
      <c r="H914" s="325" t="e">
        <v>#N/A</v>
      </c>
      <c r="I914" s="325" t="e">
        <v>#N/A</v>
      </c>
      <c r="J914" s="326">
        <v>87</v>
      </c>
      <c r="K914" s="329">
        <v>8716</v>
      </c>
      <c r="L914" s="325" t="s">
        <v>3462</v>
      </c>
      <c r="M914" s="326" t="s">
        <v>2038</v>
      </c>
      <c r="N914" s="326"/>
      <c r="O914" s="330">
        <v>123.68</v>
      </c>
      <c r="P914" s="330">
        <v>1.89</v>
      </c>
      <c r="Q914" s="331">
        <v>8716</v>
      </c>
      <c r="R914" s="330">
        <v>55000</v>
      </c>
      <c r="S914" s="330">
        <v>3500</v>
      </c>
      <c r="T914" s="326" t="s">
        <v>170</v>
      </c>
      <c r="U914" s="326" t="s">
        <v>2040</v>
      </c>
      <c r="V914" s="332"/>
      <c r="W914" s="333"/>
    </row>
    <row r="915" spans="1:23" ht="45" customHeight="1" x14ac:dyDescent="0.4">
      <c r="A915" s="323">
        <v>844410</v>
      </c>
      <c r="B915" s="324" t="s">
        <v>5183</v>
      </c>
      <c r="C915" s="325" t="s">
        <v>3463</v>
      </c>
      <c r="D915" s="326" t="s">
        <v>2045</v>
      </c>
      <c r="E915" s="327" t="s">
        <v>5184</v>
      </c>
      <c r="F915" s="327"/>
      <c r="G915" s="327" t="s">
        <v>383</v>
      </c>
      <c r="H915" s="325" t="e">
        <v>#N/A</v>
      </c>
      <c r="I915" s="325" t="e">
        <v>#N/A</v>
      </c>
      <c r="J915" s="326">
        <v>87</v>
      </c>
      <c r="K915" s="329">
        <v>8716</v>
      </c>
      <c r="L915" s="325" t="s">
        <v>3462</v>
      </c>
      <c r="M915" s="326" t="s">
        <v>2038</v>
      </c>
      <c r="N915" s="326"/>
      <c r="O915" s="330">
        <v>123.68</v>
      </c>
      <c r="P915" s="330">
        <v>1.89</v>
      </c>
      <c r="Q915" s="331">
        <v>8716</v>
      </c>
      <c r="R915" s="330">
        <v>55000</v>
      </c>
      <c r="S915" s="330">
        <v>3500</v>
      </c>
      <c r="T915" s="326" t="s">
        <v>170</v>
      </c>
      <c r="U915" s="326" t="s">
        <v>2040</v>
      </c>
      <c r="V915" s="332"/>
      <c r="W915" s="333"/>
    </row>
    <row r="916" spans="1:23" ht="45" customHeight="1" x14ac:dyDescent="0.4">
      <c r="A916" s="323">
        <v>844500</v>
      </c>
      <c r="B916" s="324" t="s">
        <v>5185</v>
      </c>
      <c r="C916" s="325" t="s">
        <v>3464</v>
      </c>
      <c r="D916" s="326" t="s">
        <v>2045</v>
      </c>
      <c r="E916" s="327" t="s">
        <v>5186</v>
      </c>
      <c r="F916" s="327"/>
      <c r="G916" s="327" t="s">
        <v>383</v>
      </c>
      <c r="H916" s="325" t="e">
        <v>#N/A</v>
      </c>
      <c r="I916" s="325" t="e">
        <v>#N/A</v>
      </c>
      <c r="J916" s="326">
        <v>84</v>
      </c>
      <c r="K916" s="329">
        <v>8442</v>
      </c>
      <c r="L916" s="325" t="s">
        <v>3458</v>
      </c>
      <c r="M916" s="326" t="s">
        <v>2101</v>
      </c>
      <c r="N916" s="326"/>
      <c r="O916" s="330">
        <v>2.21</v>
      </c>
      <c r="P916" s="330">
        <v>0.01</v>
      </c>
      <c r="Q916" s="331">
        <v>8442</v>
      </c>
      <c r="R916" s="330">
        <v>2500000</v>
      </c>
      <c r="S916" s="330">
        <v>200000</v>
      </c>
      <c r="T916" s="326" t="s">
        <v>170</v>
      </c>
      <c r="U916" s="326" t="s">
        <v>2040</v>
      </c>
      <c r="V916" s="332"/>
      <c r="W916" s="333"/>
    </row>
    <row r="917" spans="1:23" ht="45" customHeight="1" x14ac:dyDescent="0.4">
      <c r="A917" s="323">
        <v>844510</v>
      </c>
      <c r="B917" s="324" t="s">
        <v>3465</v>
      </c>
      <c r="C917" s="325" t="s">
        <v>3466</v>
      </c>
      <c r="D917" s="326" t="s">
        <v>2045</v>
      </c>
      <c r="E917" s="327" t="s">
        <v>5187</v>
      </c>
      <c r="F917" s="327"/>
      <c r="G917" s="327" t="s">
        <v>383</v>
      </c>
      <c r="H917" s="325" t="e">
        <v>#N/A</v>
      </c>
      <c r="I917" s="325" t="e">
        <v>#N/A</v>
      </c>
      <c r="J917" s="326">
        <v>87</v>
      </c>
      <c r="K917" s="329">
        <v>8717</v>
      </c>
      <c r="L917" s="325" t="s">
        <v>3465</v>
      </c>
      <c r="M917" s="326" t="s">
        <v>2091</v>
      </c>
      <c r="N917" s="326"/>
      <c r="O917" s="330">
        <v>27.36</v>
      </c>
      <c r="P917" s="330">
        <v>3.92</v>
      </c>
      <c r="Q917" s="331">
        <v>8717</v>
      </c>
      <c r="R917" s="330">
        <v>1500</v>
      </c>
      <c r="S917" s="330">
        <v>150</v>
      </c>
      <c r="T917" s="326" t="s">
        <v>170</v>
      </c>
      <c r="U917" s="326" t="s">
        <v>2040</v>
      </c>
      <c r="V917" s="332"/>
      <c r="W917" s="333"/>
    </row>
    <row r="918" spans="1:23" ht="45" customHeight="1" x14ac:dyDescent="0.4">
      <c r="A918" s="323">
        <v>845362</v>
      </c>
      <c r="B918" s="324" t="s">
        <v>5188</v>
      </c>
      <c r="C918" s="325" t="s">
        <v>3467</v>
      </c>
      <c r="D918" s="326" t="s">
        <v>2084</v>
      </c>
      <c r="E918" s="327" t="s">
        <v>1896</v>
      </c>
      <c r="F918" s="327"/>
      <c r="G918" s="327" t="s">
        <v>383</v>
      </c>
      <c r="H918" s="325" t="s">
        <v>2035</v>
      </c>
      <c r="I918" s="325" t="s">
        <v>2570</v>
      </c>
      <c r="J918" s="328">
        <v>89</v>
      </c>
      <c r="K918" s="329">
        <v>8910</v>
      </c>
      <c r="L918" s="325" t="s">
        <v>3319</v>
      </c>
      <c r="M918" s="326" t="s">
        <v>226</v>
      </c>
      <c r="N918" s="326"/>
      <c r="O918" s="330">
        <v>265.08</v>
      </c>
      <c r="P918" s="330">
        <v>7.01</v>
      </c>
      <c r="Q918" s="331">
        <v>8910</v>
      </c>
      <c r="R918" s="330">
        <v>150000</v>
      </c>
      <c r="S918" s="330">
        <v>1300</v>
      </c>
      <c r="T918" s="326" t="s">
        <v>170</v>
      </c>
      <c r="U918" s="326" t="s">
        <v>2040</v>
      </c>
      <c r="V918" s="332">
        <v>89144</v>
      </c>
      <c r="W918" s="333">
        <v>84410</v>
      </c>
    </row>
    <row r="919" spans="1:23" ht="45" customHeight="1" x14ac:dyDescent="0.4">
      <c r="A919" s="323">
        <v>845363</v>
      </c>
      <c r="B919" s="324" t="s">
        <v>5189</v>
      </c>
      <c r="C919" s="325" t="s">
        <v>3468</v>
      </c>
      <c r="D919" s="326" t="s">
        <v>2034</v>
      </c>
      <c r="E919" s="327" t="s">
        <v>1897</v>
      </c>
      <c r="F919" s="327"/>
      <c r="G919" s="327" t="s">
        <v>383</v>
      </c>
      <c r="H919" s="325" t="s">
        <v>2035</v>
      </c>
      <c r="I919" s="325" t="s">
        <v>2570</v>
      </c>
      <c r="J919" s="328">
        <v>84</v>
      </c>
      <c r="K919" s="329">
        <v>8451</v>
      </c>
      <c r="L919" s="325" t="s">
        <v>3469</v>
      </c>
      <c r="M919" s="326" t="s">
        <v>2039</v>
      </c>
      <c r="N919" s="326"/>
      <c r="O919" s="330">
        <v>195.08</v>
      </c>
      <c r="P919" s="330">
        <v>0.98</v>
      </c>
      <c r="Q919" s="331">
        <v>8451</v>
      </c>
      <c r="R919" s="330">
        <v>300000</v>
      </c>
      <c r="S919" s="330">
        <v>12000</v>
      </c>
      <c r="T919" s="326" t="s">
        <v>170</v>
      </c>
      <c r="U919" s="326" t="s">
        <v>2040</v>
      </c>
      <c r="V919" s="332">
        <v>84510</v>
      </c>
      <c r="W919" s="333">
        <v>84520</v>
      </c>
    </row>
    <row r="920" spans="1:23" ht="45" customHeight="1" x14ac:dyDescent="0.4">
      <c r="A920" s="323">
        <v>851142</v>
      </c>
      <c r="B920" s="324" t="s">
        <v>5190</v>
      </c>
      <c r="C920" s="325" t="s">
        <v>1898</v>
      </c>
      <c r="D920" s="326" t="s">
        <v>2045</v>
      </c>
      <c r="E920" s="327" t="s">
        <v>5191</v>
      </c>
      <c r="F920" s="327"/>
      <c r="G920" s="327" t="s">
        <v>1899</v>
      </c>
      <c r="H920" s="325" t="s">
        <v>2035</v>
      </c>
      <c r="I920" s="325" t="s">
        <v>3470</v>
      </c>
      <c r="J920" s="328">
        <v>85</v>
      </c>
      <c r="K920" s="329">
        <v>8513</v>
      </c>
      <c r="L920" s="325" t="s">
        <v>3471</v>
      </c>
      <c r="M920" s="326" t="s">
        <v>2038</v>
      </c>
      <c r="N920" s="326" t="s">
        <v>2039</v>
      </c>
      <c r="O920" s="330">
        <v>2364.0700000000002</v>
      </c>
      <c r="P920" s="330">
        <v>31.99</v>
      </c>
      <c r="Q920" s="331">
        <v>8513</v>
      </c>
      <c r="R920" s="330">
        <v>5900</v>
      </c>
      <c r="S920" s="330">
        <v>410</v>
      </c>
      <c r="T920" s="326" t="s">
        <v>170</v>
      </c>
      <c r="U920" s="326" t="s">
        <v>2040</v>
      </c>
      <c r="V920" s="332" t="s">
        <v>3472</v>
      </c>
      <c r="W920" s="333">
        <v>85120</v>
      </c>
    </row>
    <row r="921" spans="1:23" ht="45" customHeight="1" x14ac:dyDescent="0.4">
      <c r="A921" s="323">
        <v>851143</v>
      </c>
      <c r="B921" s="324" t="s">
        <v>5192</v>
      </c>
      <c r="C921" s="325" t="s">
        <v>1900</v>
      </c>
      <c r="D921" s="326" t="s">
        <v>2034</v>
      </c>
      <c r="E921" s="327" t="s">
        <v>1901</v>
      </c>
      <c r="F921" s="327" t="s">
        <v>5193</v>
      </c>
      <c r="G921" s="327" t="s">
        <v>1902</v>
      </c>
      <c r="H921" s="325" t="s">
        <v>2035</v>
      </c>
      <c r="I921" s="325" t="s">
        <v>2570</v>
      </c>
      <c r="J921" s="328">
        <v>85</v>
      </c>
      <c r="K921" s="329">
        <v>8511</v>
      </c>
      <c r="L921" s="325" t="s">
        <v>3904</v>
      </c>
      <c r="M921" s="326" t="s">
        <v>2038</v>
      </c>
      <c r="N921" s="326"/>
      <c r="O921" s="330">
        <v>125.72</v>
      </c>
      <c r="P921" s="330">
        <v>1.2</v>
      </c>
      <c r="Q921" s="331">
        <v>8511</v>
      </c>
      <c r="R921" s="330">
        <v>1900000</v>
      </c>
      <c r="S921" s="330">
        <v>9800</v>
      </c>
      <c r="T921" s="326" t="s">
        <v>170</v>
      </c>
      <c r="U921" s="326" t="s">
        <v>2040</v>
      </c>
      <c r="V921" s="332" t="s">
        <v>228</v>
      </c>
      <c r="W921" s="333" t="s">
        <v>228</v>
      </c>
    </row>
    <row r="922" spans="1:23" ht="45" customHeight="1" x14ac:dyDescent="0.4">
      <c r="A922" s="323">
        <v>851145</v>
      </c>
      <c r="B922" s="324" t="s">
        <v>5194</v>
      </c>
      <c r="C922" s="325" t="s">
        <v>1903</v>
      </c>
      <c r="D922" s="326" t="s">
        <v>2034</v>
      </c>
      <c r="E922" s="327" t="s">
        <v>1904</v>
      </c>
      <c r="F922" s="327" t="s">
        <v>3905</v>
      </c>
      <c r="G922" s="327" t="s">
        <v>1905</v>
      </c>
      <c r="H922" s="325" t="s">
        <v>2035</v>
      </c>
      <c r="I922" s="325" t="s">
        <v>2570</v>
      </c>
      <c r="J922" s="328">
        <v>85</v>
      </c>
      <c r="K922" s="329">
        <v>8511</v>
      </c>
      <c r="L922" s="325" t="s">
        <v>3904</v>
      </c>
      <c r="M922" s="326" t="s">
        <v>2038</v>
      </c>
      <c r="N922" s="326" t="s">
        <v>2039</v>
      </c>
      <c r="O922" s="330">
        <v>125.72</v>
      </c>
      <c r="P922" s="330">
        <v>1.2</v>
      </c>
      <c r="Q922" s="331">
        <v>8511</v>
      </c>
      <c r="R922" s="330">
        <v>1900000</v>
      </c>
      <c r="S922" s="330">
        <v>9800</v>
      </c>
      <c r="T922" s="326" t="s">
        <v>170</v>
      </c>
      <c r="U922" s="326" t="s">
        <v>2040</v>
      </c>
      <c r="V922" s="332" t="s">
        <v>228</v>
      </c>
      <c r="W922" s="333">
        <v>85110</v>
      </c>
    </row>
    <row r="923" spans="1:23" ht="45" customHeight="1" x14ac:dyDescent="0.4">
      <c r="A923" s="323">
        <v>851147</v>
      </c>
      <c r="B923" s="324" t="s">
        <v>5195</v>
      </c>
      <c r="C923" s="325" t="s">
        <v>1906</v>
      </c>
      <c r="D923" s="326" t="s">
        <v>2034</v>
      </c>
      <c r="E923" s="327" t="s">
        <v>5196</v>
      </c>
      <c r="F923" s="327"/>
      <c r="G923" s="327" t="s">
        <v>1907</v>
      </c>
      <c r="H923" s="325" t="s">
        <v>2035</v>
      </c>
      <c r="I923" s="325" t="s">
        <v>3470</v>
      </c>
      <c r="J923" s="328">
        <v>85</v>
      </c>
      <c r="K923" s="329">
        <v>8511</v>
      </c>
      <c r="L923" s="325" t="s">
        <v>3904</v>
      </c>
      <c r="M923" s="326" t="s">
        <v>2038</v>
      </c>
      <c r="N923" s="326" t="s">
        <v>2039</v>
      </c>
      <c r="O923" s="330">
        <v>125.72</v>
      </c>
      <c r="P923" s="330">
        <v>1.2</v>
      </c>
      <c r="Q923" s="331">
        <v>8511</v>
      </c>
      <c r="R923" s="330">
        <v>1900000</v>
      </c>
      <c r="S923" s="330">
        <v>9800</v>
      </c>
      <c r="T923" s="326" t="s">
        <v>170</v>
      </c>
      <c r="U923" s="326" t="s">
        <v>2040</v>
      </c>
      <c r="V923" s="332" t="s">
        <v>3473</v>
      </c>
      <c r="W923" s="333">
        <v>85110</v>
      </c>
    </row>
    <row r="924" spans="1:23" ht="45" customHeight="1" x14ac:dyDescent="0.4">
      <c r="A924" s="323">
        <v>851201</v>
      </c>
      <c r="B924" s="324" t="s">
        <v>5197</v>
      </c>
      <c r="C924" s="325" t="s">
        <v>3474</v>
      </c>
      <c r="D924" s="326" t="s">
        <v>2034</v>
      </c>
      <c r="E924" s="327" t="s">
        <v>5198</v>
      </c>
      <c r="F924" s="327"/>
      <c r="G924" s="327" t="s">
        <v>1908</v>
      </c>
      <c r="H924" s="325" t="s">
        <v>2035</v>
      </c>
      <c r="I924" s="325" t="s">
        <v>2570</v>
      </c>
      <c r="J924" s="328">
        <v>85</v>
      </c>
      <c r="K924" s="329">
        <v>8512</v>
      </c>
      <c r="L924" s="325" t="s">
        <v>3475</v>
      </c>
      <c r="M924" s="326" t="s">
        <v>2038</v>
      </c>
      <c r="N924" s="326" t="s">
        <v>2039</v>
      </c>
      <c r="O924" s="330">
        <v>32.54</v>
      </c>
      <c r="P924" s="330">
        <v>0.72</v>
      </c>
      <c r="Q924" s="331">
        <v>8512</v>
      </c>
      <c r="R924" s="330">
        <v>5000000</v>
      </c>
      <c r="S924" s="330">
        <v>56000</v>
      </c>
      <c r="T924" s="326" t="s">
        <v>170</v>
      </c>
      <c r="U924" s="326" t="s">
        <v>2040</v>
      </c>
      <c r="V924" s="332" t="s">
        <v>3476</v>
      </c>
      <c r="W924" s="333">
        <v>85111</v>
      </c>
    </row>
    <row r="925" spans="1:23" ht="45" customHeight="1" x14ac:dyDescent="0.4">
      <c r="A925" s="323">
        <v>851404</v>
      </c>
      <c r="B925" s="324" t="s">
        <v>5199</v>
      </c>
      <c r="C925" s="325" t="s">
        <v>1909</v>
      </c>
      <c r="D925" s="326" t="s">
        <v>2045</v>
      </c>
      <c r="E925" s="327" t="s">
        <v>1926</v>
      </c>
      <c r="F925" s="327"/>
      <c r="G925" s="327" t="s">
        <v>383</v>
      </c>
      <c r="H925" s="325" t="e">
        <v>#N/A</v>
      </c>
      <c r="I925" s="325" t="e">
        <v>#N/A</v>
      </c>
      <c r="J925" s="328">
        <v>85</v>
      </c>
      <c r="K925" s="329">
        <v>8514</v>
      </c>
      <c r="L925" s="325" t="s">
        <v>3477</v>
      </c>
      <c r="M925" s="326" t="s">
        <v>226</v>
      </c>
      <c r="N925" s="326"/>
      <c r="O925" s="330">
        <v>892.28</v>
      </c>
      <c r="P925" s="330">
        <v>2.81</v>
      </c>
      <c r="Q925" s="331">
        <v>8514</v>
      </c>
      <c r="R925" s="330">
        <v>92000</v>
      </c>
      <c r="S925" s="330">
        <v>10800</v>
      </c>
      <c r="T925" s="326" t="s">
        <v>170</v>
      </c>
      <c r="U925" s="326" t="s">
        <v>2040</v>
      </c>
      <c r="V925" s="332" t="s">
        <v>228</v>
      </c>
      <c r="W925" s="333">
        <v>85125</v>
      </c>
    </row>
    <row r="926" spans="1:23" ht="45" customHeight="1" x14ac:dyDescent="0.4">
      <c r="A926" s="323">
        <v>852201</v>
      </c>
      <c r="B926" s="324" t="s">
        <v>5200</v>
      </c>
      <c r="C926" s="325" t="s">
        <v>3478</v>
      </c>
      <c r="D926" s="326" t="s">
        <v>2034</v>
      </c>
      <c r="E926" s="327" t="s">
        <v>5201</v>
      </c>
      <c r="F926" s="327"/>
      <c r="G926" s="327" t="s">
        <v>1910</v>
      </c>
      <c r="H926" s="325" t="s">
        <v>2035</v>
      </c>
      <c r="I926" s="325" t="s">
        <v>2570</v>
      </c>
      <c r="J926" s="328">
        <v>85</v>
      </c>
      <c r="K926" s="329">
        <v>8521</v>
      </c>
      <c r="L926" s="325" t="s">
        <v>3479</v>
      </c>
      <c r="M926" s="326" t="s">
        <v>2038</v>
      </c>
      <c r="N926" s="326" t="s">
        <v>3029</v>
      </c>
      <c r="O926" s="330">
        <v>112.64</v>
      </c>
      <c r="P926" s="330">
        <v>1.8</v>
      </c>
      <c r="Q926" s="331">
        <v>8521</v>
      </c>
      <c r="R926" s="330">
        <v>200000</v>
      </c>
      <c r="S926" s="330">
        <v>5100</v>
      </c>
      <c r="T926" s="326" t="s">
        <v>170</v>
      </c>
      <c r="U926" s="326" t="s">
        <v>2040</v>
      </c>
      <c r="V926" s="332">
        <v>85215</v>
      </c>
      <c r="W926" s="333">
        <v>85210</v>
      </c>
    </row>
    <row r="927" spans="1:23" ht="45" customHeight="1" x14ac:dyDescent="0.4">
      <c r="A927" s="323">
        <v>852220</v>
      </c>
      <c r="B927" s="324" t="s">
        <v>5202</v>
      </c>
      <c r="C927" s="325" t="s">
        <v>3480</v>
      </c>
      <c r="D927" s="326" t="s">
        <v>2045</v>
      </c>
      <c r="E927" s="327" t="s">
        <v>5203</v>
      </c>
      <c r="F927" s="327"/>
      <c r="G927" s="327" t="s">
        <v>383</v>
      </c>
      <c r="H927" s="325" t="e">
        <v>#N/A</v>
      </c>
      <c r="I927" s="325" t="e">
        <v>#N/A</v>
      </c>
      <c r="J927" s="328">
        <v>85</v>
      </c>
      <c r="K927" s="329">
        <v>8514</v>
      </c>
      <c r="L927" s="325" t="s">
        <v>3477</v>
      </c>
      <c r="M927" s="326" t="s">
        <v>226</v>
      </c>
      <c r="N927" s="326"/>
      <c r="O927" s="330">
        <v>892.28</v>
      </c>
      <c r="P927" s="330">
        <v>2.81</v>
      </c>
      <c r="Q927" s="331">
        <v>8514</v>
      </c>
      <c r="R927" s="330">
        <v>92000</v>
      </c>
      <c r="S927" s="330">
        <v>10800</v>
      </c>
      <c r="T927" s="326" t="s">
        <v>170</v>
      </c>
      <c r="U927" s="326" t="s">
        <v>2040</v>
      </c>
      <c r="V927" s="332"/>
      <c r="W927" s="333"/>
    </row>
    <row r="928" spans="1:23" ht="45" customHeight="1" x14ac:dyDescent="0.4">
      <c r="A928" s="323">
        <v>852261</v>
      </c>
      <c r="B928" s="324" t="s">
        <v>5204</v>
      </c>
      <c r="C928" s="325" t="s">
        <v>3481</v>
      </c>
      <c r="D928" s="326" t="s">
        <v>2034</v>
      </c>
      <c r="E928" s="327" t="s">
        <v>5205</v>
      </c>
      <c r="F928" s="327"/>
      <c r="G928" s="327" t="s">
        <v>1911</v>
      </c>
      <c r="H928" s="325" t="s">
        <v>2035</v>
      </c>
      <c r="I928" s="325" t="s">
        <v>2085</v>
      </c>
      <c r="J928" s="328">
        <v>85</v>
      </c>
      <c r="K928" s="329">
        <v>8521</v>
      </c>
      <c r="L928" s="325" t="s">
        <v>3479</v>
      </c>
      <c r="M928" s="326" t="s">
        <v>2038</v>
      </c>
      <c r="N928" s="326" t="s">
        <v>3029</v>
      </c>
      <c r="O928" s="330">
        <v>112.64</v>
      </c>
      <c r="P928" s="330">
        <v>1.8</v>
      </c>
      <c r="Q928" s="331">
        <v>8521</v>
      </c>
      <c r="R928" s="330">
        <v>200000</v>
      </c>
      <c r="S928" s="330">
        <v>5100</v>
      </c>
      <c r="T928" s="326" t="s">
        <v>170</v>
      </c>
      <c r="U928" s="326" t="s">
        <v>2040</v>
      </c>
      <c r="V928" s="332" t="s">
        <v>228</v>
      </c>
      <c r="W928" s="333">
        <v>85210</v>
      </c>
    </row>
    <row r="929" spans="1:23" ht="45" customHeight="1" x14ac:dyDescent="0.4">
      <c r="A929" s="323">
        <v>852262</v>
      </c>
      <c r="B929" s="324" t="s">
        <v>5206</v>
      </c>
      <c r="C929" s="325" t="s">
        <v>3482</v>
      </c>
      <c r="D929" s="326" t="s">
        <v>2034</v>
      </c>
      <c r="E929" s="327" t="s">
        <v>5207</v>
      </c>
      <c r="F929" s="327"/>
      <c r="G929" s="327" t="s">
        <v>1912</v>
      </c>
      <c r="H929" s="325" t="s">
        <v>2035</v>
      </c>
      <c r="I929" s="325" t="s">
        <v>2570</v>
      </c>
      <c r="J929" s="328">
        <v>85</v>
      </c>
      <c r="K929" s="329">
        <v>8521</v>
      </c>
      <c r="L929" s="325" t="s">
        <v>3479</v>
      </c>
      <c r="M929" s="326" t="s">
        <v>2038</v>
      </c>
      <c r="N929" s="326" t="s">
        <v>3029</v>
      </c>
      <c r="O929" s="330">
        <v>112.64</v>
      </c>
      <c r="P929" s="330">
        <v>1.8</v>
      </c>
      <c r="Q929" s="331">
        <v>8521</v>
      </c>
      <c r="R929" s="330">
        <v>200000</v>
      </c>
      <c r="S929" s="330">
        <v>5100</v>
      </c>
      <c r="T929" s="326" t="s">
        <v>170</v>
      </c>
      <c r="U929" s="326" t="s">
        <v>2040</v>
      </c>
      <c r="V929" s="332">
        <v>85215</v>
      </c>
      <c r="W929" s="333">
        <v>85210</v>
      </c>
    </row>
    <row r="930" spans="1:23" ht="45" customHeight="1" x14ac:dyDescent="0.4">
      <c r="A930" s="323">
        <v>852263</v>
      </c>
      <c r="B930" s="324" t="s">
        <v>5208</v>
      </c>
      <c r="C930" s="325" t="s">
        <v>3483</v>
      </c>
      <c r="D930" s="326" t="s">
        <v>2034</v>
      </c>
      <c r="E930" s="327" t="s">
        <v>5209</v>
      </c>
      <c r="F930" s="327" t="s">
        <v>5210</v>
      </c>
      <c r="G930" s="327" t="s">
        <v>383</v>
      </c>
      <c r="H930" s="325" t="e">
        <v>#N/A</v>
      </c>
      <c r="I930" s="325" t="e">
        <v>#N/A</v>
      </c>
      <c r="J930" s="328">
        <v>85</v>
      </c>
      <c r="K930" s="329">
        <v>8522</v>
      </c>
      <c r="L930" s="325" t="s">
        <v>3484</v>
      </c>
      <c r="M930" s="326" t="s">
        <v>2038</v>
      </c>
      <c r="N930" s="326" t="s">
        <v>3029</v>
      </c>
      <c r="O930" s="330">
        <v>30.47</v>
      </c>
      <c r="P930" s="330">
        <v>0.31</v>
      </c>
      <c r="Q930" s="331">
        <v>8522</v>
      </c>
      <c r="R930" s="330">
        <v>200000</v>
      </c>
      <c r="S930" s="330">
        <v>8100</v>
      </c>
      <c r="T930" s="326" t="s">
        <v>170</v>
      </c>
      <c r="U930" s="326" t="s">
        <v>2040</v>
      </c>
      <c r="V930" s="332" t="s">
        <v>3485</v>
      </c>
      <c r="W930" s="333">
        <v>85121</v>
      </c>
    </row>
    <row r="931" spans="1:23" ht="45" customHeight="1" x14ac:dyDescent="0.4">
      <c r="A931" s="323">
        <v>852267</v>
      </c>
      <c r="B931" s="324" t="s">
        <v>5211</v>
      </c>
      <c r="C931" s="325" t="s">
        <v>3486</v>
      </c>
      <c r="D931" s="326" t="s">
        <v>2034</v>
      </c>
      <c r="E931" s="327" t="s">
        <v>1913</v>
      </c>
      <c r="F931" s="327"/>
      <c r="G931" s="327" t="s">
        <v>1914</v>
      </c>
      <c r="H931" s="325" t="s">
        <v>2035</v>
      </c>
      <c r="I931" s="325" t="s">
        <v>2570</v>
      </c>
      <c r="J931" s="328">
        <v>85</v>
      </c>
      <c r="K931" s="329">
        <v>8521</v>
      </c>
      <c r="L931" s="325" t="s">
        <v>3479</v>
      </c>
      <c r="M931" s="326" t="s">
        <v>2038</v>
      </c>
      <c r="N931" s="326" t="s">
        <v>3029</v>
      </c>
      <c r="O931" s="330">
        <v>112.64</v>
      </c>
      <c r="P931" s="330">
        <v>1.8</v>
      </c>
      <c r="Q931" s="331">
        <v>8521</v>
      </c>
      <c r="R931" s="330">
        <v>200000</v>
      </c>
      <c r="S931" s="330">
        <v>5100</v>
      </c>
      <c r="T931" s="326" t="s">
        <v>170</v>
      </c>
      <c r="U931" s="326" t="s">
        <v>2040</v>
      </c>
      <c r="V931" s="332">
        <v>85215</v>
      </c>
      <c r="W931" s="333">
        <v>85210</v>
      </c>
    </row>
    <row r="932" spans="1:23" ht="45" customHeight="1" x14ac:dyDescent="0.4">
      <c r="A932" s="323">
        <v>852269</v>
      </c>
      <c r="B932" s="324" t="s">
        <v>5212</v>
      </c>
      <c r="C932" s="325" t="s">
        <v>3487</v>
      </c>
      <c r="D932" s="326" t="s">
        <v>2034</v>
      </c>
      <c r="E932" s="327" t="s">
        <v>5213</v>
      </c>
      <c r="F932" s="327"/>
      <c r="G932" s="327" t="s">
        <v>1915</v>
      </c>
      <c r="H932" s="325" t="s">
        <v>2085</v>
      </c>
      <c r="I932" s="325" t="s">
        <v>2035</v>
      </c>
      <c r="J932" s="328">
        <v>11</v>
      </c>
      <c r="K932" s="329">
        <v>1164</v>
      </c>
      <c r="L932" s="325" t="s">
        <v>2053</v>
      </c>
      <c r="M932" s="326" t="s">
        <v>2038</v>
      </c>
      <c r="N932" s="326"/>
      <c r="O932" s="330">
        <v>163.35</v>
      </c>
      <c r="P932" s="330">
        <v>3.32</v>
      </c>
      <c r="Q932" s="331">
        <v>1164</v>
      </c>
      <c r="R932" s="330">
        <v>46000</v>
      </c>
      <c r="S932" s="330">
        <v>3200</v>
      </c>
      <c r="T932" s="326" t="s">
        <v>170</v>
      </c>
      <c r="U932" s="326" t="s">
        <v>2040</v>
      </c>
      <c r="V932" s="332"/>
      <c r="W932" s="333">
        <v>11645</v>
      </c>
    </row>
    <row r="933" spans="1:23" ht="45" customHeight="1" x14ac:dyDescent="0.4">
      <c r="A933" s="323">
        <v>852271</v>
      </c>
      <c r="B933" s="324" t="s">
        <v>5214</v>
      </c>
      <c r="C933" s="325" t="s">
        <v>3488</v>
      </c>
      <c r="D933" s="326" t="s">
        <v>2034</v>
      </c>
      <c r="E933" s="327" t="s">
        <v>5215</v>
      </c>
      <c r="F933" s="327" t="s">
        <v>5216</v>
      </c>
      <c r="G933" s="327" t="s">
        <v>1916</v>
      </c>
      <c r="H933" s="325" t="s">
        <v>3489</v>
      </c>
      <c r="I933" s="325" t="s">
        <v>2570</v>
      </c>
      <c r="J933" s="328">
        <v>85</v>
      </c>
      <c r="K933" s="329">
        <v>8521</v>
      </c>
      <c r="L933" s="325" t="s">
        <v>3479</v>
      </c>
      <c r="M933" s="326" t="s">
        <v>2038</v>
      </c>
      <c r="N933" s="326" t="s">
        <v>3029</v>
      </c>
      <c r="O933" s="330">
        <v>112.64</v>
      </c>
      <c r="P933" s="330">
        <v>1.8</v>
      </c>
      <c r="Q933" s="331">
        <v>8521</v>
      </c>
      <c r="R933" s="330">
        <v>200000</v>
      </c>
      <c r="S933" s="330">
        <v>5100</v>
      </c>
      <c r="T933" s="326" t="s">
        <v>170</v>
      </c>
      <c r="U933" s="326" t="s">
        <v>2040</v>
      </c>
      <c r="V933" s="332">
        <v>85215</v>
      </c>
      <c r="W933" s="333">
        <v>85210</v>
      </c>
    </row>
    <row r="934" spans="1:23" ht="45" customHeight="1" x14ac:dyDescent="0.4">
      <c r="A934" s="323">
        <v>852273</v>
      </c>
      <c r="B934" s="324" t="s">
        <v>5217</v>
      </c>
      <c r="C934" s="325" t="s">
        <v>3490</v>
      </c>
      <c r="D934" s="326" t="s">
        <v>2034</v>
      </c>
      <c r="E934" s="327" t="s">
        <v>1917</v>
      </c>
      <c r="F934" s="327"/>
      <c r="G934" s="327" t="s">
        <v>1918</v>
      </c>
      <c r="H934" s="325" t="s">
        <v>2057</v>
      </c>
      <c r="I934" s="325" t="s">
        <v>2035</v>
      </c>
      <c r="J934" s="328">
        <v>11</v>
      </c>
      <c r="K934" s="329">
        <v>1164</v>
      </c>
      <c r="L934" s="325" t="s">
        <v>2053</v>
      </c>
      <c r="M934" s="326" t="s">
        <v>2038</v>
      </c>
      <c r="N934" s="326"/>
      <c r="O934" s="330">
        <v>163.35</v>
      </c>
      <c r="P934" s="330">
        <v>3.32</v>
      </c>
      <c r="Q934" s="331">
        <v>1164</v>
      </c>
      <c r="R934" s="330">
        <v>46000</v>
      </c>
      <c r="S934" s="330">
        <v>3200</v>
      </c>
      <c r="T934" s="326" t="s">
        <v>170</v>
      </c>
      <c r="U934" s="326" t="s">
        <v>2040</v>
      </c>
      <c r="V934" s="332"/>
      <c r="W934" s="333">
        <v>11665</v>
      </c>
    </row>
    <row r="935" spans="1:23" ht="45" customHeight="1" x14ac:dyDescent="0.4">
      <c r="A935" s="323">
        <v>852282</v>
      </c>
      <c r="B935" s="324" t="s">
        <v>5218</v>
      </c>
      <c r="C935" s="325" t="s">
        <v>3491</v>
      </c>
      <c r="D935" s="326" t="s">
        <v>2045</v>
      </c>
      <c r="E935" s="327" t="s">
        <v>1919</v>
      </c>
      <c r="F935" s="327" t="s">
        <v>5219</v>
      </c>
      <c r="G935" s="327" t="s">
        <v>1920</v>
      </c>
      <c r="H935" s="325" t="s">
        <v>2035</v>
      </c>
      <c r="I935" s="325" t="s">
        <v>2570</v>
      </c>
      <c r="J935" s="328">
        <v>85</v>
      </c>
      <c r="K935" s="329">
        <v>8525</v>
      </c>
      <c r="L935" s="325" t="s">
        <v>3492</v>
      </c>
      <c r="M935" s="326" t="s">
        <v>2038</v>
      </c>
      <c r="N935" s="326" t="s">
        <v>2039</v>
      </c>
      <c r="O935" s="330">
        <v>3272.06</v>
      </c>
      <c r="P935" s="330">
        <v>53.82</v>
      </c>
      <c r="Q935" s="331">
        <v>8525</v>
      </c>
      <c r="R935" s="330">
        <v>4200</v>
      </c>
      <c r="S935" s="330">
        <v>91</v>
      </c>
      <c r="T935" s="326" t="s">
        <v>170</v>
      </c>
      <c r="U935" s="326" t="s">
        <v>2040</v>
      </c>
      <c r="V935" s="332">
        <v>85230</v>
      </c>
      <c r="W935" s="333">
        <v>85230</v>
      </c>
    </row>
    <row r="936" spans="1:23" ht="45" customHeight="1" x14ac:dyDescent="0.4">
      <c r="A936" s="323">
        <v>852287</v>
      </c>
      <c r="B936" s="324" t="s">
        <v>5220</v>
      </c>
      <c r="C936" s="325" t="s">
        <v>3493</v>
      </c>
      <c r="D936" s="326" t="s">
        <v>2034</v>
      </c>
      <c r="E936" s="327" t="s">
        <v>1921</v>
      </c>
      <c r="F936" s="327"/>
      <c r="G936" s="327" t="s">
        <v>1922</v>
      </c>
      <c r="H936" s="325" t="s">
        <v>2035</v>
      </c>
      <c r="I936" s="325" t="s">
        <v>2570</v>
      </c>
      <c r="J936" s="328">
        <v>85</v>
      </c>
      <c r="K936" s="329">
        <v>8524</v>
      </c>
      <c r="L936" s="325" t="s">
        <v>3494</v>
      </c>
      <c r="M936" s="326" t="s">
        <v>2038</v>
      </c>
      <c r="N936" s="326"/>
      <c r="O936" s="330">
        <v>186.44</v>
      </c>
      <c r="P936" s="330">
        <v>0.02</v>
      </c>
      <c r="Q936" s="331">
        <v>8524</v>
      </c>
      <c r="R936" s="330">
        <v>200000</v>
      </c>
      <c r="S936" s="330">
        <v>1300</v>
      </c>
      <c r="T936" s="326" t="s">
        <v>170</v>
      </c>
      <c r="U936" s="326" t="s">
        <v>2040</v>
      </c>
      <c r="V936" s="332" t="s">
        <v>3495</v>
      </c>
      <c r="W936" s="333">
        <v>85220</v>
      </c>
    </row>
    <row r="937" spans="1:23" ht="45" customHeight="1" x14ac:dyDescent="0.4">
      <c r="A937" s="323">
        <v>852289</v>
      </c>
      <c r="B937" s="324" t="s">
        <v>5221</v>
      </c>
      <c r="C937" s="325" t="s">
        <v>1923</v>
      </c>
      <c r="D937" s="326" t="s">
        <v>2034</v>
      </c>
      <c r="E937" s="327" t="s">
        <v>1924</v>
      </c>
      <c r="F937" s="327" t="s">
        <v>5222</v>
      </c>
      <c r="G937" s="327" t="s">
        <v>1925</v>
      </c>
      <c r="H937" s="325" t="s">
        <v>2035</v>
      </c>
      <c r="I937" s="325" t="s">
        <v>2570</v>
      </c>
      <c r="J937" s="328">
        <v>85</v>
      </c>
      <c r="K937" s="329">
        <v>8524</v>
      </c>
      <c r="L937" s="325" t="s">
        <v>3494</v>
      </c>
      <c r="M937" s="326" t="s">
        <v>2038</v>
      </c>
      <c r="N937" s="326"/>
      <c r="O937" s="330">
        <v>186.44</v>
      </c>
      <c r="P937" s="330">
        <v>0.02</v>
      </c>
      <c r="Q937" s="331">
        <v>8524</v>
      </c>
      <c r="R937" s="330">
        <v>200000</v>
      </c>
      <c r="S937" s="330">
        <v>1300</v>
      </c>
      <c r="T937" s="326" t="s">
        <v>170</v>
      </c>
      <c r="U937" s="326" t="s">
        <v>2040</v>
      </c>
      <c r="V937" s="332" t="s">
        <v>3496</v>
      </c>
      <c r="W937" s="333">
        <v>85220</v>
      </c>
    </row>
    <row r="938" spans="1:23" ht="45" customHeight="1" x14ac:dyDescent="0.4">
      <c r="A938" s="323">
        <v>852301</v>
      </c>
      <c r="B938" s="324" t="s">
        <v>5223</v>
      </c>
      <c r="C938" s="325" t="s">
        <v>3497</v>
      </c>
      <c r="D938" s="326" t="s">
        <v>2034</v>
      </c>
      <c r="E938" s="327" t="s">
        <v>1926</v>
      </c>
      <c r="F938" s="327"/>
      <c r="G938" s="327" t="s">
        <v>1927</v>
      </c>
      <c r="H938" s="325" t="s">
        <v>2085</v>
      </c>
      <c r="I938" s="325" t="s">
        <v>2035</v>
      </c>
      <c r="J938" s="328">
        <v>85</v>
      </c>
      <c r="K938" s="329">
        <v>8523</v>
      </c>
      <c r="L938" s="325" t="s">
        <v>3498</v>
      </c>
      <c r="M938" s="326" t="s">
        <v>2038</v>
      </c>
      <c r="N938" s="326" t="s">
        <v>3029</v>
      </c>
      <c r="O938" s="330">
        <v>78.03</v>
      </c>
      <c r="P938" s="330">
        <v>1.54</v>
      </c>
      <c r="Q938" s="331">
        <v>8523</v>
      </c>
      <c r="R938" s="330">
        <v>400000</v>
      </c>
      <c r="S938" s="330">
        <v>10000</v>
      </c>
      <c r="T938" s="326" t="s">
        <v>170</v>
      </c>
      <c r="U938" s="326" t="s">
        <v>2040</v>
      </c>
      <c r="V938" s="332" t="s">
        <v>3499</v>
      </c>
      <c r="W938" s="333">
        <v>85122</v>
      </c>
    </row>
    <row r="939" spans="1:23" ht="45" customHeight="1" x14ac:dyDescent="0.4">
      <c r="A939" s="323">
        <v>852400</v>
      </c>
      <c r="B939" s="324" t="s">
        <v>5224</v>
      </c>
      <c r="C939" s="325" t="s">
        <v>2901</v>
      </c>
      <c r="D939" s="326" t="s">
        <v>2034</v>
      </c>
      <c r="E939" s="327" t="s">
        <v>5225</v>
      </c>
      <c r="F939" s="327"/>
      <c r="G939" s="327" t="s">
        <v>383</v>
      </c>
      <c r="H939" s="325" t="e">
        <v>#N/A</v>
      </c>
      <c r="I939" s="325" t="e">
        <v>#N/A</v>
      </c>
      <c r="J939" s="328">
        <v>85</v>
      </c>
      <c r="K939" s="329">
        <v>8526</v>
      </c>
      <c r="L939" s="325" t="s">
        <v>2161</v>
      </c>
      <c r="M939" s="326" t="s">
        <v>2038</v>
      </c>
      <c r="N939" s="326"/>
      <c r="O939" s="330">
        <v>76.33</v>
      </c>
      <c r="P939" s="330">
        <v>1.8</v>
      </c>
      <c r="Q939" s="331">
        <v>8526</v>
      </c>
      <c r="R939" s="330">
        <v>160000</v>
      </c>
      <c r="S939" s="330">
        <v>530</v>
      </c>
      <c r="T939" s="326" t="s">
        <v>170</v>
      </c>
      <c r="U939" s="326" t="s">
        <v>2040</v>
      </c>
      <c r="V939" s="332"/>
      <c r="W939" s="333">
        <v>85240</v>
      </c>
    </row>
    <row r="940" spans="1:23" ht="45" customHeight="1" x14ac:dyDescent="0.4">
      <c r="A940" s="323">
        <v>853101</v>
      </c>
      <c r="B940" s="324" t="s">
        <v>5226</v>
      </c>
      <c r="C940" s="325" t="s">
        <v>5227</v>
      </c>
      <c r="D940" s="326" t="s">
        <v>2045</v>
      </c>
      <c r="E940" s="327" t="s">
        <v>5228</v>
      </c>
      <c r="F940" s="327" t="s">
        <v>5229</v>
      </c>
      <c r="G940" s="327" t="s">
        <v>1928</v>
      </c>
      <c r="H940" s="325" t="s">
        <v>2035</v>
      </c>
      <c r="I940" s="325" t="s">
        <v>3470</v>
      </c>
      <c r="J940" s="328">
        <v>85</v>
      </c>
      <c r="K940" s="329">
        <v>8531</v>
      </c>
      <c r="L940" s="325" t="s">
        <v>5230</v>
      </c>
      <c r="M940" s="326" t="s">
        <v>226</v>
      </c>
      <c r="N940" s="326" t="s">
        <v>3029</v>
      </c>
      <c r="O940" s="330">
        <v>60</v>
      </c>
      <c r="P940" s="330">
        <v>0.73</v>
      </c>
      <c r="Q940" s="331">
        <v>8531</v>
      </c>
      <c r="R940" s="330">
        <v>1000000</v>
      </c>
      <c r="S940" s="330">
        <v>34000</v>
      </c>
      <c r="T940" s="326" t="s">
        <v>170</v>
      </c>
      <c r="U940" s="326" t="s">
        <v>2040</v>
      </c>
      <c r="V940" s="332">
        <v>85218</v>
      </c>
      <c r="W940" s="333" t="s">
        <v>3500</v>
      </c>
    </row>
    <row r="941" spans="1:23" ht="45" customHeight="1" x14ac:dyDescent="0.4">
      <c r="A941" s="323">
        <v>860612</v>
      </c>
      <c r="B941" s="324" t="s">
        <v>3502</v>
      </c>
      <c r="C941" s="325" t="s">
        <v>3501</v>
      </c>
      <c r="D941" s="326" t="s">
        <v>2045</v>
      </c>
      <c r="E941" s="327" t="s">
        <v>1929</v>
      </c>
      <c r="F941" s="327"/>
      <c r="G941" s="327" t="s">
        <v>1930</v>
      </c>
      <c r="H941" s="325" t="s">
        <v>2035</v>
      </c>
      <c r="I941" s="325" t="s">
        <v>228</v>
      </c>
      <c r="J941" s="328">
        <v>86</v>
      </c>
      <c r="K941" s="329">
        <v>8611</v>
      </c>
      <c r="L941" s="325" t="s">
        <v>3502</v>
      </c>
      <c r="M941" s="326" t="s">
        <v>2039</v>
      </c>
      <c r="N941" s="326"/>
      <c r="O941" s="330">
        <v>16736.09</v>
      </c>
      <c r="P941" s="330">
        <v>236.04</v>
      </c>
      <c r="Q941" s="331">
        <v>8611</v>
      </c>
      <c r="R941" s="330">
        <v>2300</v>
      </c>
      <c r="S941" s="330">
        <v>210</v>
      </c>
      <c r="T941" s="326" t="s">
        <v>170</v>
      </c>
      <c r="U941" s="326" t="s">
        <v>2040</v>
      </c>
      <c r="V941" s="332">
        <v>86110</v>
      </c>
      <c r="W941" s="333">
        <v>86030</v>
      </c>
    </row>
    <row r="942" spans="1:23" ht="45" customHeight="1" x14ac:dyDescent="0.4">
      <c r="A942" s="323">
        <v>860616</v>
      </c>
      <c r="B942" s="324" t="s">
        <v>5231</v>
      </c>
      <c r="C942" s="325" t="s">
        <v>3503</v>
      </c>
      <c r="D942" s="326" t="s">
        <v>2045</v>
      </c>
      <c r="E942" s="327" t="s">
        <v>1931</v>
      </c>
      <c r="F942" s="327"/>
      <c r="G942" s="327" t="s">
        <v>1932</v>
      </c>
      <c r="H942" s="325" t="s">
        <v>2035</v>
      </c>
      <c r="I942" s="325" t="s">
        <v>228</v>
      </c>
      <c r="J942" s="328">
        <v>73</v>
      </c>
      <c r="K942" s="329">
        <v>7384</v>
      </c>
      <c r="L942" s="325" t="s">
        <v>3115</v>
      </c>
      <c r="M942" s="326" t="s">
        <v>226</v>
      </c>
      <c r="N942" s="326"/>
      <c r="O942" s="330">
        <v>68.680000000000007</v>
      </c>
      <c r="P942" s="330">
        <v>0.69</v>
      </c>
      <c r="Q942" s="331">
        <v>7384</v>
      </c>
      <c r="R942" s="330">
        <v>15000</v>
      </c>
      <c r="S942" s="330">
        <v>300</v>
      </c>
      <c r="T942" s="326" t="s">
        <v>170</v>
      </c>
      <c r="U942" s="326" t="s">
        <v>2040</v>
      </c>
      <c r="V942" s="332">
        <v>73070</v>
      </c>
      <c r="W942" s="333">
        <v>73066</v>
      </c>
    </row>
    <row r="943" spans="1:23" ht="45" customHeight="1" x14ac:dyDescent="0.4">
      <c r="A943" s="323">
        <v>860617</v>
      </c>
      <c r="B943" s="324" t="s">
        <v>5232</v>
      </c>
      <c r="C943" s="325" t="s">
        <v>3504</v>
      </c>
      <c r="D943" s="326" t="s">
        <v>2034</v>
      </c>
      <c r="E943" s="327" t="s">
        <v>1933</v>
      </c>
      <c r="F943" s="327"/>
      <c r="G943" s="327" t="s">
        <v>1934</v>
      </c>
      <c r="H943" s="325" t="s">
        <v>2035</v>
      </c>
      <c r="I943" s="325" t="s">
        <v>228</v>
      </c>
      <c r="J943" s="328">
        <v>86</v>
      </c>
      <c r="K943" s="329">
        <v>8601</v>
      </c>
      <c r="L943" s="325" t="s">
        <v>3505</v>
      </c>
      <c r="M943" s="326" t="s">
        <v>2201</v>
      </c>
      <c r="N943" s="326"/>
      <c r="O943" s="330">
        <v>3091202.17</v>
      </c>
      <c r="P943" s="330">
        <v>13272.83</v>
      </c>
      <c r="Q943" s="331">
        <v>8601</v>
      </c>
      <c r="R943" s="330">
        <v>105</v>
      </c>
      <c r="S943" s="330">
        <v>4</v>
      </c>
      <c r="T943" s="326" t="s">
        <v>170</v>
      </c>
      <c r="U943" s="326" t="s">
        <v>2040</v>
      </c>
      <c r="V943" s="332">
        <v>86010</v>
      </c>
      <c r="W943" s="333">
        <v>86010</v>
      </c>
    </row>
    <row r="944" spans="1:23" ht="45" customHeight="1" x14ac:dyDescent="0.4">
      <c r="A944" s="323">
        <v>871101</v>
      </c>
      <c r="B944" s="324" t="s">
        <v>5233</v>
      </c>
      <c r="C944" s="325" t="s">
        <v>1935</v>
      </c>
      <c r="D944" s="326" t="s">
        <v>2034</v>
      </c>
      <c r="E944" s="327" t="s">
        <v>1936</v>
      </c>
      <c r="F944" s="327" t="s">
        <v>5234</v>
      </c>
      <c r="G944" s="327" t="s">
        <v>383</v>
      </c>
      <c r="H944" s="325" t="e">
        <v>#N/A</v>
      </c>
      <c r="I944" s="325" t="e">
        <v>#N/A</v>
      </c>
      <c r="J944" s="328">
        <v>87</v>
      </c>
      <c r="K944" s="329">
        <v>8711</v>
      </c>
      <c r="L944" s="325" t="s">
        <v>3506</v>
      </c>
      <c r="M944" s="326" t="s">
        <v>2039</v>
      </c>
      <c r="N944" s="326"/>
      <c r="O944" s="330">
        <v>159.54</v>
      </c>
      <c r="P944" s="330">
        <v>0.04</v>
      </c>
      <c r="Q944" s="331">
        <v>8711</v>
      </c>
      <c r="R944" s="330">
        <v>140000</v>
      </c>
      <c r="S944" s="330">
        <v>1700</v>
      </c>
      <c r="T944" s="326" t="s">
        <v>170</v>
      </c>
      <c r="U944" s="326" t="s">
        <v>2040</v>
      </c>
      <c r="V944" s="332">
        <v>87120</v>
      </c>
      <c r="W944" s="333">
        <v>87120</v>
      </c>
    </row>
    <row r="945" spans="1:263" ht="45" customHeight="1" x14ac:dyDescent="0.4">
      <c r="A945" s="323">
        <v>871150</v>
      </c>
      <c r="B945" s="324" t="s">
        <v>5235</v>
      </c>
      <c r="C945" s="325" t="s">
        <v>3507</v>
      </c>
      <c r="D945" s="326" t="s">
        <v>2045</v>
      </c>
      <c r="E945" s="327" t="s">
        <v>5236</v>
      </c>
      <c r="F945" s="327"/>
      <c r="G945" s="327" t="s">
        <v>383</v>
      </c>
      <c r="H945" s="325" t="e">
        <v>#N/A</v>
      </c>
      <c r="I945" s="325" t="e">
        <v>#N/A</v>
      </c>
      <c r="J945" s="328">
        <v>84</v>
      </c>
      <c r="K945" s="329">
        <v>8452</v>
      </c>
      <c r="L945" s="325" t="s">
        <v>3508</v>
      </c>
      <c r="M945" s="326" t="s">
        <v>3383</v>
      </c>
      <c r="N945" s="326"/>
      <c r="O945" s="330">
        <v>85.35</v>
      </c>
      <c r="P945" s="330">
        <v>5.27</v>
      </c>
      <c r="Q945" s="331">
        <v>8452</v>
      </c>
      <c r="R945" s="330">
        <v>8000</v>
      </c>
      <c r="S945" s="330">
        <v>800</v>
      </c>
      <c r="T945" s="326" t="s">
        <v>170</v>
      </c>
      <c r="U945" s="326" t="s">
        <v>2040</v>
      </c>
      <c r="V945" s="332"/>
      <c r="W945" s="333">
        <v>87115</v>
      </c>
    </row>
    <row r="946" spans="1:263" ht="45" customHeight="1" x14ac:dyDescent="0.4">
      <c r="A946" s="323">
        <v>871183</v>
      </c>
      <c r="B946" s="324" t="s">
        <v>5237</v>
      </c>
      <c r="C946" s="325" t="s">
        <v>3509</v>
      </c>
      <c r="D946" s="326" t="s">
        <v>2034</v>
      </c>
      <c r="E946" s="327" t="s">
        <v>1937</v>
      </c>
      <c r="F946" s="327"/>
      <c r="G946" s="327" t="s">
        <v>1938</v>
      </c>
      <c r="H946" s="325" t="s">
        <v>2035</v>
      </c>
      <c r="I946" s="325" t="s">
        <v>2570</v>
      </c>
      <c r="J946" s="328">
        <v>83</v>
      </c>
      <c r="K946" s="329">
        <v>8321</v>
      </c>
      <c r="L946" s="325" t="s">
        <v>3404</v>
      </c>
      <c r="M946" s="326" t="s">
        <v>2039</v>
      </c>
      <c r="N946" s="326"/>
      <c r="O946" s="330">
        <v>176.9</v>
      </c>
      <c r="P946" s="330">
        <v>1.1200000000000001</v>
      </c>
      <c r="Q946" s="331">
        <v>8321</v>
      </c>
      <c r="R946" s="330">
        <v>500000</v>
      </c>
      <c r="S946" s="330">
        <v>4000</v>
      </c>
      <c r="T946" s="326" t="s">
        <v>170</v>
      </c>
      <c r="U946" s="326" t="s">
        <v>2040</v>
      </c>
      <c r="V946" s="332">
        <v>87110</v>
      </c>
      <c r="W946" s="333">
        <v>87110</v>
      </c>
    </row>
    <row r="947" spans="1:263" ht="45" customHeight="1" x14ac:dyDescent="0.4">
      <c r="A947" s="323">
        <v>871185</v>
      </c>
      <c r="B947" s="324" t="s">
        <v>5238</v>
      </c>
      <c r="C947" s="325" t="s">
        <v>3510</v>
      </c>
      <c r="D947" s="326" t="s">
        <v>2045</v>
      </c>
      <c r="E947" s="327" t="s">
        <v>1939</v>
      </c>
      <c r="F947" s="327"/>
      <c r="G947" s="327" t="s">
        <v>1940</v>
      </c>
      <c r="H947" s="325" t="s">
        <v>2035</v>
      </c>
      <c r="I947" s="325" t="s">
        <v>2570</v>
      </c>
      <c r="J947" s="328">
        <v>89</v>
      </c>
      <c r="K947" s="329">
        <v>8924</v>
      </c>
      <c r="L947" s="325" t="s">
        <v>3363</v>
      </c>
      <c r="M947" s="326" t="s">
        <v>2076</v>
      </c>
      <c r="N947" s="326"/>
      <c r="O947" s="330">
        <v>15600.1</v>
      </c>
      <c r="P947" s="330">
        <v>950.51</v>
      </c>
      <c r="Q947" s="331">
        <v>8924</v>
      </c>
      <c r="R947" s="330">
        <v>1</v>
      </c>
      <c r="S947" s="330">
        <v>1</v>
      </c>
      <c r="T947" s="326" t="s">
        <v>170</v>
      </c>
      <c r="U947" s="326" t="s">
        <v>2040</v>
      </c>
      <c r="V947" s="332" t="s">
        <v>228</v>
      </c>
      <c r="W947" s="333" t="s">
        <v>228</v>
      </c>
    </row>
    <row r="948" spans="1:263" ht="45" customHeight="1" x14ac:dyDescent="0.4">
      <c r="A948" s="323">
        <v>871187</v>
      </c>
      <c r="B948" s="324" t="s">
        <v>5239</v>
      </c>
      <c r="C948" s="325" t="s">
        <v>1941</v>
      </c>
      <c r="D948" s="326" t="s">
        <v>2045</v>
      </c>
      <c r="E948" s="327" t="s">
        <v>1942</v>
      </c>
      <c r="F948" s="327"/>
      <c r="G948" s="327" t="s">
        <v>1943</v>
      </c>
      <c r="H948" s="325" t="s">
        <v>2035</v>
      </c>
      <c r="I948" s="325" t="s">
        <v>2570</v>
      </c>
      <c r="J948" s="328">
        <v>87</v>
      </c>
      <c r="K948" s="329">
        <v>8712</v>
      </c>
      <c r="L948" s="325" t="s">
        <v>3511</v>
      </c>
      <c r="M948" s="326" t="s">
        <v>2039</v>
      </c>
      <c r="N948" s="326"/>
      <c r="O948" s="330">
        <v>386.56</v>
      </c>
      <c r="P948" s="330">
        <v>0.86</v>
      </c>
      <c r="Q948" s="331">
        <v>8712</v>
      </c>
      <c r="R948" s="330">
        <v>15000</v>
      </c>
      <c r="S948" s="330">
        <v>400</v>
      </c>
      <c r="T948" s="326" t="s">
        <v>170</v>
      </c>
      <c r="U948" s="326" t="s">
        <v>2040</v>
      </c>
      <c r="V948" s="332">
        <v>87150</v>
      </c>
      <c r="W948" s="333">
        <v>87135</v>
      </c>
    </row>
    <row r="949" spans="1:263" ht="45" customHeight="1" x14ac:dyDescent="0.4">
      <c r="A949" s="323">
        <v>871401</v>
      </c>
      <c r="B949" s="324" t="s">
        <v>5240</v>
      </c>
      <c r="C949" s="325" t="s">
        <v>1944</v>
      </c>
      <c r="D949" s="326" t="s">
        <v>2045</v>
      </c>
      <c r="E949" s="327" t="s">
        <v>5241</v>
      </c>
      <c r="F949" s="327"/>
      <c r="G949" s="327" t="s">
        <v>383</v>
      </c>
      <c r="H949" s="325" t="e">
        <v>#N/A</v>
      </c>
      <c r="I949" s="325" t="e">
        <v>#N/A</v>
      </c>
      <c r="J949" s="328">
        <v>87</v>
      </c>
      <c r="K949" s="329">
        <v>8714</v>
      </c>
      <c r="L949" s="325" t="s">
        <v>3512</v>
      </c>
      <c r="M949" s="326" t="s">
        <v>2039</v>
      </c>
      <c r="N949" s="326"/>
      <c r="O949" s="330">
        <v>979.63</v>
      </c>
      <c r="P949" s="330">
        <v>10.85</v>
      </c>
      <c r="Q949" s="331">
        <v>8714</v>
      </c>
      <c r="R949" s="330">
        <v>18000</v>
      </c>
      <c r="S949" s="330">
        <v>930</v>
      </c>
      <c r="T949" s="326" t="s">
        <v>170</v>
      </c>
      <c r="U949" s="326" t="s">
        <v>2040</v>
      </c>
      <c r="V949" s="332">
        <v>87140</v>
      </c>
      <c r="W949" s="333">
        <v>87125</v>
      </c>
    </row>
    <row r="950" spans="1:263" ht="45" customHeight="1" x14ac:dyDescent="0.4">
      <c r="A950" s="323">
        <v>871421</v>
      </c>
      <c r="B950" s="324" t="s">
        <v>5242</v>
      </c>
      <c r="C950" s="325" t="s">
        <v>1945</v>
      </c>
      <c r="D950" s="326" t="s">
        <v>2045</v>
      </c>
      <c r="E950" s="327" t="s">
        <v>1946</v>
      </c>
      <c r="F950" s="327"/>
      <c r="G950" s="327" t="s">
        <v>383</v>
      </c>
      <c r="H950" s="325" t="e">
        <v>#N/A</v>
      </c>
      <c r="I950" s="325" t="e">
        <v>#N/A</v>
      </c>
      <c r="J950" s="328">
        <v>87</v>
      </c>
      <c r="K950" s="329">
        <v>8714</v>
      </c>
      <c r="L950" s="325" t="s">
        <v>3512</v>
      </c>
      <c r="M950" s="326" t="s">
        <v>2039</v>
      </c>
      <c r="N950" s="326"/>
      <c r="O950" s="330">
        <v>979.63</v>
      </c>
      <c r="P950" s="330">
        <v>10.85</v>
      </c>
      <c r="Q950" s="331">
        <v>8714</v>
      </c>
      <c r="R950" s="330">
        <v>18000</v>
      </c>
      <c r="S950" s="330">
        <v>930</v>
      </c>
      <c r="T950" s="326" t="s">
        <v>170</v>
      </c>
      <c r="U950" s="326" t="s">
        <v>2040</v>
      </c>
      <c r="V950" s="332">
        <v>16430</v>
      </c>
      <c r="W950" s="333" t="s">
        <v>3513</v>
      </c>
    </row>
    <row r="951" spans="1:263" ht="45" customHeight="1" x14ac:dyDescent="0.4">
      <c r="A951" s="323">
        <v>872245</v>
      </c>
      <c r="B951" s="324" t="s">
        <v>5243</v>
      </c>
      <c r="C951" s="325" t="s">
        <v>3514</v>
      </c>
      <c r="D951" s="326" t="s">
        <v>2034</v>
      </c>
      <c r="E951" s="327" t="s">
        <v>1947</v>
      </c>
      <c r="F951" s="327" t="s">
        <v>5244</v>
      </c>
      <c r="G951" s="327" t="s">
        <v>1948</v>
      </c>
      <c r="H951" s="325" t="s">
        <v>3044</v>
      </c>
      <c r="I951" s="325" t="s">
        <v>2035</v>
      </c>
      <c r="J951" s="328">
        <v>87</v>
      </c>
      <c r="K951" s="329">
        <v>8721</v>
      </c>
      <c r="L951" s="325" t="s">
        <v>5245</v>
      </c>
      <c r="M951" s="326" t="s">
        <v>2039</v>
      </c>
      <c r="N951" s="326"/>
      <c r="O951" s="330">
        <v>125.92</v>
      </c>
      <c r="P951" s="330">
        <v>1.77</v>
      </c>
      <c r="Q951" s="331">
        <v>8721</v>
      </c>
      <c r="R951" s="330">
        <v>280000</v>
      </c>
      <c r="S951" s="330">
        <v>1700</v>
      </c>
      <c r="T951" s="326" t="s">
        <v>170</v>
      </c>
      <c r="U951" s="326" t="s">
        <v>2040</v>
      </c>
      <c r="V951" s="332" t="s">
        <v>3515</v>
      </c>
      <c r="W951" s="333">
        <v>87210</v>
      </c>
    </row>
    <row r="952" spans="1:263" ht="45" customHeight="1" x14ac:dyDescent="0.4">
      <c r="A952" s="323">
        <v>872247</v>
      </c>
      <c r="B952" s="324" t="s">
        <v>5246</v>
      </c>
      <c r="C952" s="325" t="s">
        <v>3516</v>
      </c>
      <c r="D952" s="326" t="s">
        <v>2034</v>
      </c>
      <c r="E952" s="327" t="s">
        <v>1949</v>
      </c>
      <c r="F952" s="327"/>
      <c r="G952" s="327" t="s">
        <v>1950</v>
      </c>
      <c r="H952" s="325" t="s">
        <v>3044</v>
      </c>
      <c r="I952" s="325" t="s">
        <v>2035</v>
      </c>
      <c r="J952" s="328">
        <v>87</v>
      </c>
      <c r="K952" s="329">
        <v>8722</v>
      </c>
      <c r="L952" s="325" t="s">
        <v>3517</v>
      </c>
      <c r="M952" s="326" t="s">
        <v>2039</v>
      </c>
      <c r="N952" s="326"/>
      <c r="O952" s="330">
        <v>143.34</v>
      </c>
      <c r="P952" s="330">
        <v>5.18</v>
      </c>
      <c r="Q952" s="331">
        <v>8722</v>
      </c>
      <c r="R952" s="330">
        <v>250000</v>
      </c>
      <c r="S952" s="330">
        <v>2100</v>
      </c>
      <c r="T952" s="326" t="s">
        <v>170</v>
      </c>
      <c r="U952" s="326" t="s">
        <v>2040</v>
      </c>
      <c r="V952" s="332">
        <v>87224</v>
      </c>
      <c r="W952" s="333">
        <v>87211</v>
      </c>
    </row>
    <row r="953" spans="1:263" ht="45" customHeight="1" x14ac:dyDescent="0.4">
      <c r="A953" s="323">
        <v>872248</v>
      </c>
      <c r="B953" s="324" t="s">
        <v>5247</v>
      </c>
      <c r="C953" s="325" t="s">
        <v>3518</v>
      </c>
      <c r="D953" s="326" t="s">
        <v>2034</v>
      </c>
      <c r="E953" s="327" t="s">
        <v>1951</v>
      </c>
      <c r="F953" s="327" t="s">
        <v>5248</v>
      </c>
      <c r="G953" s="327" t="s">
        <v>1952</v>
      </c>
      <c r="H953" s="325" t="s">
        <v>3044</v>
      </c>
      <c r="I953" s="325" t="s">
        <v>2035</v>
      </c>
      <c r="J953" s="328">
        <v>87</v>
      </c>
      <c r="K953" s="329">
        <v>8721</v>
      </c>
      <c r="L953" s="325" t="s">
        <v>5245</v>
      </c>
      <c r="M953" s="326" t="s">
        <v>2039</v>
      </c>
      <c r="N953" s="326"/>
      <c r="O953" s="330">
        <v>125.92</v>
      </c>
      <c r="P953" s="330">
        <v>1.77</v>
      </c>
      <c r="Q953" s="331">
        <v>8721</v>
      </c>
      <c r="R953" s="330">
        <v>280000</v>
      </c>
      <c r="S953" s="330">
        <v>1700</v>
      </c>
      <c r="T953" s="326" t="s">
        <v>170</v>
      </c>
      <c r="U953" s="326" t="s">
        <v>2040</v>
      </c>
      <c r="V953" s="332" t="s">
        <v>3515</v>
      </c>
      <c r="W953" s="333">
        <v>87215</v>
      </c>
    </row>
    <row r="954" spans="1:263" ht="45" customHeight="1" x14ac:dyDescent="0.4">
      <c r="A954" s="323">
        <v>872249</v>
      </c>
      <c r="B954" s="324" t="s">
        <v>5249</v>
      </c>
      <c r="C954" s="325" t="s">
        <v>1953</v>
      </c>
      <c r="D954" s="326" t="s">
        <v>2034</v>
      </c>
      <c r="E954" s="327" t="s">
        <v>5250</v>
      </c>
      <c r="F954" s="327"/>
      <c r="G954" s="327" t="s">
        <v>383</v>
      </c>
      <c r="H954" s="325" t="e">
        <v>#N/A</v>
      </c>
      <c r="I954" s="325" t="e">
        <v>#N/A</v>
      </c>
      <c r="J954" s="328">
        <v>87</v>
      </c>
      <c r="K954" s="329">
        <v>8721</v>
      </c>
      <c r="L954" s="325" t="s">
        <v>5245</v>
      </c>
      <c r="M954" s="326" t="s">
        <v>2039</v>
      </c>
      <c r="N954" s="326"/>
      <c r="O954" s="330">
        <v>125.92</v>
      </c>
      <c r="P954" s="330">
        <v>1.77</v>
      </c>
      <c r="Q954" s="331">
        <v>8721</v>
      </c>
      <c r="R954" s="330">
        <v>280000</v>
      </c>
      <c r="S954" s="330">
        <v>1700</v>
      </c>
      <c r="T954" s="326" t="s">
        <v>170</v>
      </c>
      <c r="U954" s="326" t="s">
        <v>2040</v>
      </c>
      <c r="V954" s="332"/>
      <c r="W954" s="333"/>
    </row>
    <row r="955" spans="1:263" ht="45" customHeight="1" x14ac:dyDescent="0.4">
      <c r="A955" s="323">
        <v>872300</v>
      </c>
      <c r="B955" s="324" t="s">
        <v>5251</v>
      </c>
      <c r="C955" s="325" t="s">
        <v>3519</v>
      </c>
      <c r="D955" s="326" t="s">
        <v>2045</v>
      </c>
      <c r="E955" s="327" t="s">
        <v>1954</v>
      </c>
      <c r="F955" s="327" t="s">
        <v>5252</v>
      </c>
      <c r="G955" s="327" t="s">
        <v>383</v>
      </c>
      <c r="H955" s="325" t="e">
        <v>#N/A</v>
      </c>
      <c r="I955" s="325" t="e">
        <v>#N/A</v>
      </c>
      <c r="J955" s="328">
        <v>14</v>
      </c>
      <c r="K955" s="329">
        <v>1458</v>
      </c>
      <c r="L955" s="325" t="s">
        <v>3520</v>
      </c>
      <c r="M955" s="326" t="s">
        <v>2076</v>
      </c>
      <c r="N955" s="326"/>
      <c r="O955" s="330">
        <v>106740</v>
      </c>
      <c r="P955" s="330">
        <v>9319.8799999999992</v>
      </c>
      <c r="Q955" s="331">
        <v>1458</v>
      </c>
      <c r="R955" s="330">
        <v>22</v>
      </c>
      <c r="S955" s="330">
        <v>3</v>
      </c>
      <c r="T955" s="326" t="s">
        <v>170</v>
      </c>
      <c r="U955" s="326" t="s">
        <v>2040</v>
      </c>
      <c r="V955" s="332">
        <v>87230</v>
      </c>
      <c r="W955" s="333">
        <v>87230</v>
      </c>
    </row>
    <row r="956" spans="1:263" ht="45" customHeight="1" x14ac:dyDescent="0.4">
      <c r="A956" s="323">
        <v>872845</v>
      </c>
      <c r="B956" s="324" t="s">
        <v>5253</v>
      </c>
      <c r="C956" s="325" t="s">
        <v>3521</v>
      </c>
      <c r="D956" s="326" t="s">
        <v>2045</v>
      </c>
      <c r="E956" s="327" t="s">
        <v>5254</v>
      </c>
      <c r="F956" s="327"/>
      <c r="G956" s="327" t="s">
        <v>1955</v>
      </c>
      <c r="H956" s="325" t="s">
        <v>3044</v>
      </c>
      <c r="I956" s="325" t="s">
        <v>2035</v>
      </c>
      <c r="J956" s="328">
        <v>14</v>
      </c>
      <c r="K956" s="329">
        <v>1499</v>
      </c>
      <c r="L956" s="325" t="s">
        <v>2327</v>
      </c>
      <c r="M956" s="326" t="s">
        <v>2076</v>
      </c>
      <c r="N956" s="326"/>
      <c r="O956" s="330">
        <v>212226.75</v>
      </c>
      <c r="P956" s="330">
        <v>239.72</v>
      </c>
      <c r="Q956" s="331">
        <v>1499</v>
      </c>
      <c r="R956" s="330">
        <v>35</v>
      </c>
      <c r="S956" s="330">
        <v>1</v>
      </c>
      <c r="T956" s="326" t="s">
        <v>170</v>
      </c>
      <c r="U956" s="326" t="s">
        <v>2040</v>
      </c>
      <c r="V956" s="332">
        <v>14940</v>
      </c>
      <c r="W956" s="333"/>
    </row>
    <row r="957" spans="1:263" ht="45" customHeight="1" x14ac:dyDescent="0.4">
      <c r="A957" s="323">
        <v>872911</v>
      </c>
      <c r="B957" s="324" t="s">
        <v>5255</v>
      </c>
      <c r="C957" s="325" t="s">
        <v>3522</v>
      </c>
      <c r="D957" s="326" t="s">
        <v>2045</v>
      </c>
      <c r="E957" s="327" t="s">
        <v>1956</v>
      </c>
      <c r="F957" s="327" t="s">
        <v>3906</v>
      </c>
      <c r="G957" s="327" t="s">
        <v>1957</v>
      </c>
      <c r="H957" s="325" t="s">
        <v>3044</v>
      </c>
      <c r="I957" s="325" t="s">
        <v>2035</v>
      </c>
      <c r="J957" s="328">
        <v>14</v>
      </c>
      <c r="K957" s="329">
        <v>1495</v>
      </c>
      <c r="L957" s="325" t="s">
        <v>3523</v>
      </c>
      <c r="M957" s="326" t="s">
        <v>2076</v>
      </c>
      <c r="N957" s="326"/>
      <c r="O957" s="330">
        <v>46190.879999999997</v>
      </c>
      <c r="P957" s="330">
        <v>193.67</v>
      </c>
      <c r="Q957" s="331">
        <v>1495</v>
      </c>
      <c r="R957" s="330">
        <v>220</v>
      </c>
      <c r="S957" s="330">
        <v>13</v>
      </c>
      <c r="T957" s="326" t="s">
        <v>170</v>
      </c>
      <c r="U957" s="326" t="s">
        <v>2040</v>
      </c>
      <c r="V957" s="332">
        <v>14915</v>
      </c>
      <c r="W957" s="333" t="s">
        <v>3907</v>
      </c>
    </row>
    <row r="958" spans="1:263" ht="45" customHeight="1" x14ac:dyDescent="0.4">
      <c r="A958" s="323">
        <v>881310</v>
      </c>
      <c r="B958" s="324" t="s">
        <v>5256</v>
      </c>
      <c r="C958" s="325" t="s">
        <v>3908</v>
      </c>
      <c r="D958" s="326" t="s">
        <v>2034</v>
      </c>
      <c r="E958" s="327" t="s">
        <v>5257</v>
      </c>
      <c r="F958" s="327"/>
      <c r="G958" s="327" t="s">
        <v>383</v>
      </c>
      <c r="H958" s="325"/>
      <c r="I958" s="325"/>
      <c r="J958" s="328">
        <v>88</v>
      </c>
      <c r="K958" s="329">
        <v>8813</v>
      </c>
      <c r="L958" s="325" t="s">
        <v>3909</v>
      </c>
      <c r="M958" s="326" t="s">
        <v>2039</v>
      </c>
      <c r="N958" s="326"/>
      <c r="O958" s="330">
        <v>84.65</v>
      </c>
      <c r="P958" s="330">
        <v>0.86</v>
      </c>
      <c r="Q958" s="331">
        <v>8813</v>
      </c>
      <c r="R958" s="330">
        <v>125000</v>
      </c>
      <c r="S958" s="330">
        <v>7500</v>
      </c>
      <c r="T958" s="326" t="s">
        <v>170</v>
      </c>
      <c r="U958" s="326" t="s">
        <v>2040</v>
      </c>
      <c r="V958" s="332"/>
      <c r="W958" s="333"/>
    </row>
    <row r="959" spans="1:263" ht="45" customHeight="1" x14ac:dyDescent="0.4">
      <c r="A959" s="323">
        <v>882110</v>
      </c>
      <c r="B959" s="324" t="s">
        <v>5258</v>
      </c>
      <c r="C959" s="325" t="s">
        <v>3910</v>
      </c>
      <c r="D959" s="326" t="s">
        <v>2045</v>
      </c>
      <c r="E959" s="327" t="s">
        <v>5259</v>
      </c>
      <c r="F959" s="327"/>
      <c r="G959" s="327" t="s">
        <v>383</v>
      </c>
      <c r="H959" s="325"/>
      <c r="I959" s="325"/>
      <c r="J959" s="328">
        <v>88</v>
      </c>
      <c r="K959" s="329">
        <v>8821</v>
      </c>
      <c r="L959" s="325" t="s">
        <v>3911</v>
      </c>
      <c r="M959" s="326" t="s">
        <v>2076</v>
      </c>
      <c r="N959" s="326"/>
      <c r="O959" s="330">
        <v>489817.1</v>
      </c>
      <c r="P959" s="330">
        <v>5076.16</v>
      </c>
      <c r="Q959" s="331">
        <v>8821</v>
      </c>
      <c r="R959" s="330">
        <v>1</v>
      </c>
      <c r="S959" s="330">
        <v>1</v>
      </c>
      <c r="T959" s="326" t="s">
        <v>170</v>
      </c>
      <c r="U959" s="326" t="s">
        <v>2040</v>
      </c>
      <c r="V959" s="332"/>
      <c r="W959" s="333"/>
      <c r="X959" s="322"/>
      <c r="Y959" s="322"/>
      <c r="Z959" s="322"/>
      <c r="AA959" s="322"/>
      <c r="AB959" s="322"/>
      <c r="AC959" s="322"/>
      <c r="AD959" s="322"/>
      <c r="AE959" s="322"/>
      <c r="AF959" s="322"/>
      <c r="AG959" s="322"/>
      <c r="AH959" s="322"/>
      <c r="AI959" s="322"/>
      <c r="AJ959" s="322"/>
      <c r="AK959" s="322"/>
      <c r="AL959" s="322"/>
      <c r="AM959" s="322"/>
      <c r="AN959" s="322"/>
      <c r="AO959" s="322"/>
      <c r="AP959" s="322"/>
      <c r="AQ959" s="322"/>
      <c r="AR959" s="322"/>
      <c r="AS959" s="322"/>
      <c r="AT959" s="322"/>
      <c r="AU959" s="322"/>
      <c r="AV959" s="322"/>
      <c r="AW959" s="322"/>
      <c r="AX959" s="322"/>
      <c r="AY959" s="322"/>
      <c r="AZ959" s="322"/>
      <c r="BA959" s="322"/>
      <c r="BB959" s="322"/>
      <c r="BC959" s="322"/>
      <c r="BD959" s="322"/>
      <c r="BE959" s="322"/>
      <c r="BF959" s="322"/>
      <c r="BG959" s="322"/>
      <c r="BH959" s="322"/>
      <c r="BI959" s="322"/>
      <c r="BJ959" s="322"/>
      <c r="BK959" s="322"/>
      <c r="BL959" s="322"/>
      <c r="BM959" s="322"/>
      <c r="BN959" s="322"/>
      <c r="BO959" s="322"/>
      <c r="BP959" s="322"/>
      <c r="BQ959" s="322"/>
      <c r="BR959" s="322"/>
      <c r="BS959" s="322"/>
      <c r="BT959" s="322"/>
      <c r="BU959" s="322"/>
      <c r="BV959" s="322"/>
      <c r="BW959" s="322"/>
      <c r="BX959" s="322"/>
      <c r="BY959" s="322"/>
      <c r="BZ959" s="322"/>
      <c r="CA959" s="322"/>
      <c r="CB959" s="322"/>
      <c r="CC959" s="322"/>
      <c r="CD959" s="322"/>
      <c r="CE959" s="322"/>
      <c r="CF959" s="322"/>
      <c r="CG959" s="322"/>
      <c r="CH959" s="322"/>
      <c r="CI959" s="322"/>
      <c r="CJ959" s="322"/>
      <c r="CK959" s="322"/>
      <c r="CL959" s="322"/>
      <c r="CM959" s="322"/>
      <c r="CN959" s="322"/>
      <c r="CO959" s="322"/>
      <c r="CP959" s="322"/>
      <c r="CQ959" s="322"/>
      <c r="CR959" s="322"/>
      <c r="CS959" s="322"/>
      <c r="CT959" s="322"/>
      <c r="CU959" s="322"/>
      <c r="CV959" s="322"/>
      <c r="CW959" s="322"/>
      <c r="CX959" s="322"/>
      <c r="CY959" s="322"/>
      <c r="CZ959" s="322"/>
      <c r="DA959" s="322"/>
      <c r="DB959" s="322"/>
      <c r="DC959" s="322"/>
      <c r="DD959" s="322"/>
      <c r="DE959" s="322"/>
      <c r="DF959" s="322"/>
      <c r="DG959" s="322"/>
      <c r="DH959" s="322"/>
      <c r="DI959" s="322"/>
      <c r="DJ959" s="322"/>
      <c r="DK959" s="322"/>
      <c r="DL959" s="322"/>
      <c r="DM959" s="322"/>
      <c r="DN959" s="322"/>
      <c r="DO959" s="322"/>
      <c r="DP959" s="322"/>
      <c r="DQ959" s="322"/>
      <c r="DR959" s="322"/>
      <c r="DS959" s="322"/>
      <c r="DT959" s="322"/>
      <c r="DU959" s="322"/>
      <c r="DV959" s="322"/>
      <c r="DW959" s="322"/>
      <c r="DX959" s="322"/>
      <c r="DY959" s="322"/>
      <c r="DZ959" s="322"/>
      <c r="EA959" s="322"/>
      <c r="EB959" s="322"/>
      <c r="EC959" s="322"/>
      <c r="ED959" s="322"/>
      <c r="EE959" s="322"/>
      <c r="EF959" s="322"/>
      <c r="EG959" s="322"/>
      <c r="EH959" s="322"/>
      <c r="EI959" s="322"/>
      <c r="EJ959" s="322"/>
      <c r="EK959" s="322"/>
      <c r="EL959" s="322"/>
      <c r="EM959" s="322"/>
      <c r="EN959" s="322"/>
      <c r="EO959" s="322"/>
      <c r="EP959" s="322"/>
      <c r="EQ959" s="322"/>
      <c r="ER959" s="322"/>
      <c r="ES959" s="322"/>
      <c r="ET959" s="322"/>
      <c r="EU959" s="322"/>
      <c r="EV959" s="322"/>
      <c r="EW959" s="322"/>
      <c r="EX959" s="322"/>
      <c r="EY959" s="322"/>
      <c r="EZ959" s="322"/>
      <c r="FA959" s="322"/>
      <c r="FB959" s="322"/>
      <c r="FC959" s="322"/>
      <c r="FD959" s="322"/>
      <c r="FE959" s="322"/>
      <c r="FF959" s="322"/>
      <c r="FG959" s="322"/>
      <c r="FH959" s="322"/>
      <c r="FI959" s="322"/>
      <c r="FJ959" s="322"/>
      <c r="FK959" s="322"/>
      <c r="FL959" s="322"/>
      <c r="FM959" s="322"/>
      <c r="FN959" s="322"/>
      <c r="FO959" s="322"/>
      <c r="FP959" s="322"/>
      <c r="FQ959" s="322"/>
      <c r="FR959" s="322"/>
      <c r="FS959" s="322"/>
      <c r="FT959" s="322"/>
      <c r="FU959" s="322"/>
      <c r="FV959" s="322"/>
      <c r="FW959" s="322"/>
      <c r="FX959" s="322"/>
      <c r="FY959" s="322"/>
      <c r="FZ959" s="322"/>
      <c r="GA959" s="322"/>
      <c r="GB959" s="322"/>
      <c r="GC959" s="322"/>
      <c r="GD959" s="322"/>
      <c r="GE959" s="322"/>
      <c r="GF959" s="322"/>
      <c r="GG959" s="322"/>
      <c r="GH959" s="322"/>
      <c r="GI959" s="322"/>
      <c r="GJ959" s="322"/>
      <c r="GK959" s="322"/>
      <c r="GL959" s="322"/>
      <c r="GM959" s="322"/>
      <c r="GN959" s="322"/>
      <c r="GO959" s="322"/>
      <c r="GP959" s="322"/>
      <c r="GQ959" s="322"/>
      <c r="GR959" s="322"/>
      <c r="GS959" s="322"/>
      <c r="GT959" s="322"/>
      <c r="GU959" s="322"/>
      <c r="GV959" s="322"/>
      <c r="GW959" s="322"/>
      <c r="GX959" s="322"/>
      <c r="GY959" s="322"/>
      <c r="GZ959" s="322"/>
      <c r="HA959" s="322"/>
      <c r="HB959" s="322"/>
      <c r="HC959" s="322"/>
      <c r="HD959" s="322"/>
      <c r="HE959" s="322"/>
      <c r="HF959" s="322"/>
      <c r="HG959" s="322"/>
      <c r="HH959" s="322"/>
      <c r="HI959" s="322"/>
      <c r="HJ959" s="322"/>
      <c r="HK959" s="322"/>
      <c r="HL959" s="322"/>
      <c r="HM959" s="322"/>
      <c r="HN959" s="322"/>
      <c r="HO959" s="322"/>
      <c r="HP959" s="322"/>
      <c r="HQ959" s="322"/>
      <c r="HR959" s="322"/>
      <c r="HS959" s="322"/>
      <c r="HT959" s="322"/>
      <c r="HU959" s="322"/>
      <c r="HV959" s="322"/>
      <c r="HW959" s="322"/>
      <c r="HX959" s="322"/>
      <c r="HY959" s="322"/>
      <c r="HZ959" s="322"/>
      <c r="IA959" s="322"/>
      <c r="IB959" s="322"/>
      <c r="IC959" s="322"/>
      <c r="ID959" s="322"/>
      <c r="IE959" s="322"/>
      <c r="IF959" s="322"/>
      <c r="IG959" s="322"/>
      <c r="IH959" s="322"/>
      <c r="II959" s="322"/>
      <c r="IJ959" s="322"/>
      <c r="IK959" s="322"/>
      <c r="IL959" s="322"/>
      <c r="IM959" s="322"/>
      <c r="IN959" s="322"/>
      <c r="IO959" s="322"/>
      <c r="IP959" s="322"/>
      <c r="IQ959" s="322"/>
      <c r="IR959" s="322"/>
      <c r="IS959" s="322"/>
      <c r="IT959" s="322"/>
      <c r="IU959" s="322"/>
      <c r="IV959" s="322"/>
      <c r="IW959" s="322"/>
      <c r="IX959" s="322"/>
      <c r="IY959" s="322"/>
      <c r="IZ959" s="322"/>
      <c r="JA959" s="322"/>
      <c r="JB959" s="322"/>
      <c r="JC959" s="322"/>
    </row>
    <row r="960" spans="1:263" ht="45" customHeight="1" x14ac:dyDescent="0.4">
      <c r="A960" s="323">
        <v>882210</v>
      </c>
      <c r="B960" s="324" t="s">
        <v>3913</v>
      </c>
      <c r="C960" s="325" t="s">
        <v>3912</v>
      </c>
      <c r="D960" s="326" t="s">
        <v>2034</v>
      </c>
      <c r="E960" s="327" t="s">
        <v>5260</v>
      </c>
      <c r="F960" s="327"/>
      <c r="G960" s="327" t="s">
        <v>383</v>
      </c>
      <c r="H960" s="325"/>
      <c r="I960" s="325"/>
      <c r="J960" s="328">
        <v>88</v>
      </c>
      <c r="K960" s="329">
        <v>8822</v>
      </c>
      <c r="L960" s="325" t="s">
        <v>3913</v>
      </c>
      <c r="M960" s="326" t="s">
        <v>2039</v>
      </c>
      <c r="N960" s="326"/>
      <c r="O960" s="330">
        <v>611.57000000000005</v>
      </c>
      <c r="P960" s="330">
        <v>10.85</v>
      </c>
      <c r="Q960" s="331">
        <v>8822</v>
      </c>
      <c r="R960" s="330">
        <v>30000</v>
      </c>
      <c r="S960" s="330">
        <v>5000</v>
      </c>
      <c r="T960" s="326" t="s">
        <v>170</v>
      </c>
      <c r="U960" s="326" t="s">
        <v>2040</v>
      </c>
      <c r="V960" s="332"/>
      <c r="W960" s="333"/>
    </row>
    <row r="961" spans="1:23" ht="45" customHeight="1" x14ac:dyDescent="0.4">
      <c r="A961" s="323">
        <v>890123</v>
      </c>
      <c r="B961" s="324" t="s">
        <v>5261</v>
      </c>
      <c r="C961" s="325" t="s">
        <v>3524</v>
      </c>
      <c r="D961" s="326" t="s">
        <v>2084</v>
      </c>
      <c r="E961" s="327" t="s">
        <v>1958</v>
      </c>
      <c r="F961" s="327"/>
      <c r="G961" s="327" t="s">
        <v>1959</v>
      </c>
      <c r="H961" s="325" t="s">
        <v>2035</v>
      </c>
      <c r="I961" s="325" t="s">
        <v>2570</v>
      </c>
      <c r="J961" s="328">
        <v>89</v>
      </c>
      <c r="K961" s="329">
        <v>8910</v>
      </c>
      <c r="L961" s="325" t="s">
        <v>3319</v>
      </c>
      <c r="M961" s="326" t="s">
        <v>226</v>
      </c>
      <c r="N961" s="326"/>
      <c r="O961" s="330">
        <v>265.08</v>
      </c>
      <c r="P961" s="330">
        <v>7.01</v>
      </c>
      <c r="Q961" s="331">
        <v>8910</v>
      </c>
      <c r="R961" s="330">
        <v>150000</v>
      </c>
      <c r="S961" s="330">
        <v>1300</v>
      </c>
      <c r="T961" s="326" t="s">
        <v>170</v>
      </c>
      <c r="U961" s="326" t="s">
        <v>2040</v>
      </c>
      <c r="V961" s="332">
        <v>89126</v>
      </c>
      <c r="W961" s="333">
        <v>82610</v>
      </c>
    </row>
    <row r="962" spans="1:23" ht="45" customHeight="1" x14ac:dyDescent="0.4">
      <c r="A962" s="323">
        <v>890127</v>
      </c>
      <c r="B962" s="324" t="s">
        <v>5262</v>
      </c>
      <c r="C962" s="325" t="s">
        <v>3525</v>
      </c>
      <c r="D962" s="326" t="s">
        <v>2045</v>
      </c>
      <c r="E962" s="327" t="s">
        <v>1960</v>
      </c>
      <c r="F962" s="327" t="s">
        <v>5263</v>
      </c>
      <c r="G962" s="327" t="s">
        <v>1961</v>
      </c>
      <c r="H962" s="325" t="s">
        <v>2035</v>
      </c>
      <c r="I962" s="325" t="s">
        <v>2570</v>
      </c>
      <c r="J962" s="328">
        <v>81</v>
      </c>
      <c r="K962" s="329">
        <v>8115</v>
      </c>
      <c r="L962" s="325" t="s">
        <v>3316</v>
      </c>
      <c r="M962" s="326" t="s">
        <v>3317</v>
      </c>
      <c r="N962" s="326"/>
      <c r="O962" s="330">
        <v>18657.23</v>
      </c>
      <c r="P962" s="330">
        <v>26.5</v>
      </c>
      <c r="Q962" s="331">
        <v>8115</v>
      </c>
      <c r="R962" s="330">
        <v>16000</v>
      </c>
      <c r="S962" s="330">
        <v>400</v>
      </c>
      <c r="T962" s="326" t="s">
        <v>170</v>
      </c>
      <c r="U962" s="326" t="s">
        <v>2040</v>
      </c>
      <c r="V962" s="332" t="s">
        <v>228</v>
      </c>
      <c r="W962" s="333">
        <v>81150</v>
      </c>
    </row>
    <row r="963" spans="1:23" ht="45" customHeight="1" x14ac:dyDescent="0.4">
      <c r="A963" s="323">
        <v>890134</v>
      </c>
      <c r="B963" s="324" t="s">
        <v>5264</v>
      </c>
      <c r="C963" s="325" t="s">
        <v>3526</v>
      </c>
      <c r="D963" s="326" t="s">
        <v>2045</v>
      </c>
      <c r="E963" s="327" t="s">
        <v>1962</v>
      </c>
      <c r="F963" s="327"/>
      <c r="G963" s="327" t="s">
        <v>1963</v>
      </c>
      <c r="H963" s="325" t="s">
        <v>2035</v>
      </c>
      <c r="I963" s="325" t="s">
        <v>2570</v>
      </c>
      <c r="J963" s="328">
        <v>89</v>
      </c>
      <c r="K963" s="329">
        <v>8921</v>
      </c>
      <c r="L963" s="325" t="s">
        <v>2722</v>
      </c>
      <c r="M963" s="326" t="s">
        <v>2076</v>
      </c>
      <c r="N963" s="326"/>
      <c r="O963" s="330">
        <v>385806.5</v>
      </c>
      <c r="P963" s="330">
        <v>27730.23</v>
      </c>
      <c r="Q963" s="331">
        <v>8921</v>
      </c>
      <c r="R963" s="330">
        <v>1</v>
      </c>
      <c r="S963" s="330">
        <v>1</v>
      </c>
      <c r="T963" s="326" t="s">
        <v>170</v>
      </c>
      <c r="U963" s="326" t="s">
        <v>2040</v>
      </c>
      <c r="V963" s="332">
        <v>89123</v>
      </c>
      <c r="W963" s="333">
        <v>89020</v>
      </c>
    </row>
    <row r="964" spans="1:23" ht="45" customHeight="1" x14ac:dyDescent="0.4">
      <c r="A964" s="323">
        <v>890136</v>
      </c>
      <c r="B964" s="324" t="s">
        <v>5265</v>
      </c>
      <c r="C964" s="325" t="s">
        <v>3527</v>
      </c>
      <c r="D964" s="326" t="s">
        <v>2084</v>
      </c>
      <c r="E964" s="327" t="s">
        <v>1964</v>
      </c>
      <c r="F964" s="327"/>
      <c r="G964" s="327" t="s">
        <v>1965</v>
      </c>
      <c r="H964" s="325" t="s">
        <v>2035</v>
      </c>
      <c r="I964" s="325" t="s">
        <v>2570</v>
      </c>
      <c r="J964" s="328">
        <v>89</v>
      </c>
      <c r="K964" s="329">
        <v>8910</v>
      </c>
      <c r="L964" s="325" t="s">
        <v>3319</v>
      </c>
      <c r="M964" s="326" t="s">
        <v>226</v>
      </c>
      <c r="N964" s="326"/>
      <c r="O964" s="330">
        <v>265.08</v>
      </c>
      <c r="P964" s="330">
        <v>7.01</v>
      </c>
      <c r="Q964" s="331">
        <v>8910</v>
      </c>
      <c r="R964" s="330">
        <v>150000</v>
      </c>
      <c r="S964" s="330">
        <v>1300</v>
      </c>
      <c r="T964" s="326" t="s">
        <v>170</v>
      </c>
      <c r="U964" s="326" t="s">
        <v>2040</v>
      </c>
      <c r="V964" s="332" t="s">
        <v>228</v>
      </c>
      <c r="W964" s="333">
        <v>82309</v>
      </c>
    </row>
    <row r="965" spans="1:23" ht="45" customHeight="1" x14ac:dyDescent="0.4">
      <c r="A965" s="323">
        <v>890144</v>
      </c>
      <c r="B965" s="324" t="s">
        <v>5266</v>
      </c>
      <c r="C965" s="325" t="s">
        <v>3528</v>
      </c>
      <c r="D965" s="326" t="s">
        <v>2034</v>
      </c>
      <c r="E965" s="327" t="s">
        <v>1966</v>
      </c>
      <c r="F965" s="327"/>
      <c r="G965" s="327" t="s">
        <v>1967</v>
      </c>
      <c r="H965" s="325" t="s">
        <v>2035</v>
      </c>
      <c r="I965" s="325" t="s">
        <v>2570</v>
      </c>
      <c r="J965" s="328">
        <v>89</v>
      </c>
      <c r="K965" s="329">
        <v>8930</v>
      </c>
      <c r="L965" s="325" t="s">
        <v>3529</v>
      </c>
      <c r="M965" s="326" t="s">
        <v>2039</v>
      </c>
      <c r="N965" s="326"/>
      <c r="O965" s="330">
        <v>67.150000000000006</v>
      </c>
      <c r="P965" s="330">
        <v>0.11</v>
      </c>
      <c r="Q965" s="331">
        <v>8930</v>
      </c>
      <c r="R965" s="330">
        <v>78000</v>
      </c>
      <c r="S965" s="330">
        <v>1300</v>
      </c>
      <c r="T965" s="326" t="s">
        <v>170</v>
      </c>
      <c r="U965" s="326" t="s">
        <v>2040</v>
      </c>
      <c r="V965" s="332">
        <v>89320</v>
      </c>
      <c r="W965" s="333">
        <v>89021</v>
      </c>
    </row>
    <row r="966" spans="1:23" ht="45" customHeight="1" x14ac:dyDescent="0.4">
      <c r="A966" s="323">
        <v>890151</v>
      </c>
      <c r="B966" s="324" t="s">
        <v>5267</v>
      </c>
      <c r="C966" s="325" t="s">
        <v>1968</v>
      </c>
      <c r="D966" s="326" t="s">
        <v>2045</v>
      </c>
      <c r="E966" s="327" t="s">
        <v>1969</v>
      </c>
      <c r="F966" s="327"/>
      <c r="G966" s="327" t="s">
        <v>1970</v>
      </c>
      <c r="H966" s="325" t="s">
        <v>2035</v>
      </c>
      <c r="I966" s="325" t="s">
        <v>2570</v>
      </c>
      <c r="J966" s="328">
        <v>14</v>
      </c>
      <c r="K966" s="329">
        <v>1499</v>
      </c>
      <c r="L966" s="325" t="s">
        <v>2327</v>
      </c>
      <c r="M966" s="326" t="s">
        <v>2076</v>
      </c>
      <c r="N966" s="326"/>
      <c r="O966" s="330">
        <v>212226.75</v>
      </c>
      <c r="P966" s="330">
        <v>239.72</v>
      </c>
      <c r="Q966" s="331">
        <v>1499</v>
      </c>
      <c r="R966" s="330">
        <v>35</v>
      </c>
      <c r="S966" s="330">
        <v>1</v>
      </c>
      <c r="T966" s="326" t="s">
        <v>170</v>
      </c>
      <c r="U966" s="326" t="s">
        <v>2040</v>
      </c>
      <c r="V966" s="332"/>
      <c r="W966" s="333"/>
    </row>
    <row r="967" spans="1:23" ht="45" customHeight="1" x14ac:dyDescent="0.4">
      <c r="A967" s="323">
        <v>890152</v>
      </c>
      <c r="B967" s="324" t="s">
        <v>5268</v>
      </c>
      <c r="C967" s="325" t="s">
        <v>3530</v>
      </c>
      <c r="D967" s="326" t="s">
        <v>2034</v>
      </c>
      <c r="E967" s="327" t="s">
        <v>1971</v>
      </c>
      <c r="F967" s="327"/>
      <c r="G967" s="327" t="s">
        <v>1972</v>
      </c>
      <c r="H967" s="325" t="s">
        <v>2035</v>
      </c>
      <c r="I967" s="325" t="s">
        <v>2570</v>
      </c>
      <c r="J967" s="328">
        <v>85</v>
      </c>
      <c r="K967" s="329">
        <v>8526</v>
      </c>
      <c r="L967" s="325" t="s">
        <v>2161</v>
      </c>
      <c r="M967" s="326" t="s">
        <v>2038</v>
      </c>
      <c r="N967" s="326"/>
      <c r="O967" s="330">
        <v>76.33</v>
      </c>
      <c r="P967" s="330">
        <v>1.8</v>
      </c>
      <c r="Q967" s="331">
        <v>8526</v>
      </c>
      <c r="R967" s="330">
        <v>160000</v>
      </c>
      <c r="S967" s="330">
        <v>530</v>
      </c>
      <c r="T967" s="326" t="s">
        <v>170</v>
      </c>
      <c r="U967" s="326" t="s">
        <v>2040</v>
      </c>
      <c r="V967" s="332" t="s">
        <v>228</v>
      </c>
      <c r="W967" s="333">
        <v>85240</v>
      </c>
    </row>
    <row r="968" spans="1:23" ht="45" customHeight="1" x14ac:dyDescent="0.4">
      <c r="A968" s="323">
        <v>890154</v>
      </c>
      <c r="B968" s="324" t="s">
        <v>5269</v>
      </c>
      <c r="C968" s="325" t="s">
        <v>3531</v>
      </c>
      <c r="D968" s="326" t="s">
        <v>2045</v>
      </c>
      <c r="E968" s="327" t="s">
        <v>1973</v>
      </c>
      <c r="F968" s="327" t="s">
        <v>3914</v>
      </c>
      <c r="G968" s="327" t="s">
        <v>1974</v>
      </c>
      <c r="H968" s="325" t="s">
        <v>2035</v>
      </c>
      <c r="I968" s="325" t="s">
        <v>2570</v>
      </c>
      <c r="J968" s="328">
        <v>21</v>
      </c>
      <c r="K968" s="329">
        <v>2137</v>
      </c>
      <c r="L968" s="325" t="s">
        <v>3532</v>
      </c>
      <c r="M968" s="326" t="s">
        <v>2076</v>
      </c>
      <c r="N968" s="326" t="s">
        <v>3533</v>
      </c>
      <c r="O968" s="330">
        <v>8474464.2699999996</v>
      </c>
      <c r="P968" s="330">
        <v>102179.14</v>
      </c>
      <c r="Q968" s="331">
        <v>2137</v>
      </c>
      <c r="R968" s="330">
        <v>10</v>
      </c>
      <c r="S968" s="330">
        <v>1</v>
      </c>
      <c r="T968" s="326" t="s">
        <v>170</v>
      </c>
      <c r="U968" s="326" t="s">
        <v>2040</v>
      </c>
      <c r="V968" s="332">
        <v>21340</v>
      </c>
      <c r="W968" s="333">
        <v>21340</v>
      </c>
    </row>
    <row r="969" spans="1:23" ht="45" customHeight="1" x14ac:dyDescent="0.4">
      <c r="A969" s="323">
        <v>890156</v>
      </c>
      <c r="B969" s="324" t="s">
        <v>5270</v>
      </c>
      <c r="C969" s="325" t="s">
        <v>3534</v>
      </c>
      <c r="D969" s="326" t="s">
        <v>2045</v>
      </c>
      <c r="E969" s="327" t="s">
        <v>1975</v>
      </c>
      <c r="F969" s="327"/>
      <c r="G969" s="327" t="s">
        <v>1976</v>
      </c>
      <c r="H969" s="325" t="s">
        <v>2035</v>
      </c>
      <c r="I969" s="325" t="s">
        <v>2570</v>
      </c>
      <c r="J969" s="328">
        <v>89</v>
      </c>
      <c r="K969" s="329">
        <v>8928</v>
      </c>
      <c r="L969" s="325" t="s">
        <v>3535</v>
      </c>
      <c r="M969" s="326" t="s">
        <v>2076</v>
      </c>
      <c r="N969" s="326"/>
      <c r="O969" s="330">
        <v>244315.92</v>
      </c>
      <c r="P969" s="330">
        <v>197.46</v>
      </c>
      <c r="Q969" s="331">
        <v>8928</v>
      </c>
      <c r="R969" s="330">
        <v>10</v>
      </c>
      <c r="S969" s="330">
        <v>1</v>
      </c>
      <c r="T969" s="326" t="s">
        <v>170</v>
      </c>
      <c r="U969" s="326" t="s">
        <v>2040</v>
      </c>
      <c r="V969" s="332">
        <v>14970</v>
      </c>
      <c r="W969" s="333">
        <v>85115</v>
      </c>
    </row>
    <row r="970" spans="1:23" ht="45" customHeight="1" x14ac:dyDescent="0.4">
      <c r="A970" s="323">
        <v>890158</v>
      </c>
      <c r="B970" s="324" t="s">
        <v>5271</v>
      </c>
      <c r="C970" s="325" t="s">
        <v>3536</v>
      </c>
      <c r="D970" s="326" t="s">
        <v>2045</v>
      </c>
      <c r="E970" s="327" t="s">
        <v>1977</v>
      </c>
      <c r="F970" s="327"/>
      <c r="G970" s="327" t="s">
        <v>1978</v>
      </c>
      <c r="H970" s="325" t="s">
        <v>2035</v>
      </c>
      <c r="I970" s="325" t="s">
        <v>2570</v>
      </c>
      <c r="J970" s="328">
        <v>89</v>
      </c>
      <c r="K970" s="329">
        <v>8928</v>
      </c>
      <c r="L970" s="325" t="s">
        <v>3535</v>
      </c>
      <c r="M970" s="326" t="s">
        <v>2076</v>
      </c>
      <c r="N970" s="326"/>
      <c r="O970" s="330">
        <v>244315.92</v>
      </c>
      <c r="P970" s="330">
        <v>197.46</v>
      </c>
      <c r="Q970" s="331">
        <v>8928</v>
      </c>
      <c r="R970" s="330">
        <v>10</v>
      </c>
      <c r="S970" s="330">
        <v>1</v>
      </c>
      <c r="T970" s="326" t="s">
        <v>170</v>
      </c>
      <c r="U970" s="326" t="s">
        <v>2040</v>
      </c>
      <c r="V970" s="332">
        <v>14970</v>
      </c>
      <c r="W970" s="333">
        <v>85115</v>
      </c>
    </row>
    <row r="971" spans="1:23" ht="45" customHeight="1" x14ac:dyDescent="0.4">
      <c r="A971" s="323">
        <v>890171</v>
      </c>
      <c r="B971" s="324" t="s">
        <v>5272</v>
      </c>
      <c r="C971" s="325" t="s">
        <v>3537</v>
      </c>
      <c r="D971" s="326" t="s">
        <v>2045</v>
      </c>
      <c r="E971" s="327" t="s">
        <v>5273</v>
      </c>
      <c r="F971" s="327"/>
      <c r="G971" s="327" t="s">
        <v>1979</v>
      </c>
      <c r="H971" s="325" t="s">
        <v>2035</v>
      </c>
      <c r="I971" s="325" t="s">
        <v>2570</v>
      </c>
      <c r="J971" s="328">
        <v>89</v>
      </c>
      <c r="K971" s="329">
        <v>8951</v>
      </c>
      <c r="L971" s="325" t="s">
        <v>3538</v>
      </c>
      <c r="M971" s="326" t="s">
        <v>2101</v>
      </c>
      <c r="N971" s="326"/>
      <c r="O971" s="330">
        <v>2.15</v>
      </c>
      <c r="P971" s="330">
        <v>0.02</v>
      </c>
      <c r="Q971" s="331">
        <v>8951</v>
      </c>
      <c r="R971" s="330">
        <v>10000000</v>
      </c>
      <c r="S971" s="330">
        <v>410000</v>
      </c>
      <c r="T971" s="326" t="s">
        <v>170</v>
      </c>
      <c r="U971" s="326" t="s">
        <v>2040</v>
      </c>
      <c r="V971" s="332" t="s">
        <v>3539</v>
      </c>
      <c r="W971" s="333" t="s">
        <v>228</v>
      </c>
    </row>
    <row r="972" spans="1:23" ht="45" customHeight="1" x14ac:dyDescent="0.4">
      <c r="A972" s="323">
        <v>890172</v>
      </c>
      <c r="B972" s="324" t="s">
        <v>5274</v>
      </c>
      <c r="C972" s="325" t="s">
        <v>3540</v>
      </c>
      <c r="D972" s="326" t="s">
        <v>2045</v>
      </c>
      <c r="E972" s="327" t="s">
        <v>5275</v>
      </c>
      <c r="F972" s="327"/>
      <c r="G972" s="327" t="s">
        <v>383</v>
      </c>
      <c r="H972" s="325" t="e">
        <v>#N/A</v>
      </c>
      <c r="I972" s="325" t="e">
        <v>#N/A</v>
      </c>
      <c r="J972" s="328">
        <v>89</v>
      </c>
      <c r="K972" s="329">
        <v>8951</v>
      </c>
      <c r="L972" s="325" t="s">
        <v>3538</v>
      </c>
      <c r="M972" s="326" t="s">
        <v>2101</v>
      </c>
      <c r="N972" s="326"/>
      <c r="O972" s="330">
        <v>2.15</v>
      </c>
      <c r="P972" s="330">
        <v>0.02</v>
      </c>
      <c r="Q972" s="331">
        <v>8951</v>
      </c>
      <c r="R972" s="330">
        <v>10000000</v>
      </c>
      <c r="S972" s="330">
        <v>410000</v>
      </c>
      <c r="T972" s="326" t="s">
        <v>170</v>
      </c>
      <c r="U972" s="326" t="s">
        <v>2040</v>
      </c>
      <c r="V972" s="332"/>
      <c r="W972" s="333"/>
    </row>
    <row r="973" spans="1:23" ht="45" customHeight="1" x14ac:dyDescent="0.4">
      <c r="A973" s="323">
        <v>890181</v>
      </c>
      <c r="B973" s="324" t="s">
        <v>5276</v>
      </c>
      <c r="C973" s="325" t="s">
        <v>3541</v>
      </c>
      <c r="D973" s="326" t="s">
        <v>2034</v>
      </c>
      <c r="E973" s="327" t="s">
        <v>1980</v>
      </c>
      <c r="F973" s="327" t="s">
        <v>5277</v>
      </c>
      <c r="G973" s="327" t="s">
        <v>1981</v>
      </c>
      <c r="H973" s="325" t="s">
        <v>2035</v>
      </c>
      <c r="I973" s="325" t="s">
        <v>2570</v>
      </c>
      <c r="J973" s="328">
        <v>89</v>
      </c>
      <c r="K973" s="329">
        <v>8932</v>
      </c>
      <c r="L973" s="325" t="s">
        <v>3542</v>
      </c>
      <c r="M973" s="326" t="s">
        <v>2039</v>
      </c>
      <c r="N973" s="326"/>
      <c r="O973" s="330">
        <v>511.13</v>
      </c>
      <c r="P973" s="330">
        <v>0.22</v>
      </c>
      <c r="Q973" s="331">
        <v>8932</v>
      </c>
      <c r="R973" s="330">
        <v>110000</v>
      </c>
      <c r="S973" s="330">
        <v>7500</v>
      </c>
      <c r="T973" s="326" t="s">
        <v>170</v>
      </c>
      <c r="U973" s="326" t="s">
        <v>2040</v>
      </c>
      <c r="V973" s="332">
        <v>89321</v>
      </c>
      <c r="W973" s="333">
        <v>89320</v>
      </c>
    </row>
    <row r="974" spans="1:23" ht="45" customHeight="1" x14ac:dyDescent="0.4">
      <c r="A974" s="323">
        <v>890185</v>
      </c>
      <c r="B974" s="324" t="s">
        <v>5278</v>
      </c>
      <c r="C974" s="325" t="s">
        <v>3543</v>
      </c>
      <c r="D974" s="326" t="s">
        <v>2034</v>
      </c>
      <c r="E974" s="327" t="s">
        <v>1982</v>
      </c>
      <c r="F974" s="327"/>
      <c r="G974" s="327" t="s">
        <v>1983</v>
      </c>
      <c r="H974" s="325" t="s">
        <v>2035</v>
      </c>
      <c r="I974" s="325" t="s">
        <v>2570</v>
      </c>
      <c r="J974" s="328">
        <v>89</v>
      </c>
      <c r="K974" s="329">
        <v>8931</v>
      </c>
      <c r="L974" s="325" t="s">
        <v>3544</v>
      </c>
      <c r="M974" s="326" t="s">
        <v>2039</v>
      </c>
      <c r="N974" s="326"/>
      <c r="O974" s="330">
        <v>746.61</v>
      </c>
      <c r="P974" s="330">
        <v>0.99</v>
      </c>
      <c r="Q974" s="331">
        <v>8931</v>
      </c>
      <c r="R974" s="330">
        <v>48000</v>
      </c>
      <c r="S974" s="330">
        <v>2000</v>
      </c>
      <c r="T974" s="326" t="s">
        <v>170</v>
      </c>
      <c r="U974" s="326" t="s">
        <v>2040</v>
      </c>
      <c r="V974" s="332">
        <v>89340</v>
      </c>
      <c r="W974" s="333">
        <v>89046</v>
      </c>
    </row>
    <row r="975" spans="1:23" ht="45" customHeight="1" x14ac:dyDescent="0.4">
      <c r="A975" s="323">
        <v>890187</v>
      </c>
      <c r="B975" s="324" t="s">
        <v>3802</v>
      </c>
      <c r="C975" s="325" t="s">
        <v>3545</v>
      </c>
      <c r="D975" s="326" t="s">
        <v>2045</v>
      </c>
      <c r="E975" s="327" t="s">
        <v>1984</v>
      </c>
      <c r="F975" s="327"/>
      <c r="G975" s="327" t="s">
        <v>1985</v>
      </c>
      <c r="H975" s="325" t="s">
        <v>2035</v>
      </c>
      <c r="I975" s="325" t="s">
        <v>2570</v>
      </c>
      <c r="J975" s="328">
        <v>89</v>
      </c>
      <c r="K975" s="329">
        <v>8927</v>
      </c>
      <c r="L975" s="325" t="s">
        <v>3802</v>
      </c>
      <c r="M975" s="326" t="s">
        <v>2076</v>
      </c>
      <c r="N975" s="326"/>
      <c r="O975" s="330">
        <v>32240.25</v>
      </c>
      <c r="P975" s="330">
        <v>252.36</v>
      </c>
      <c r="Q975" s="331">
        <v>8927</v>
      </c>
      <c r="R975" s="330">
        <v>200</v>
      </c>
      <c r="S975" s="330">
        <v>3</v>
      </c>
      <c r="T975" s="326" t="s">
        <v>170</v>
      </c>
      <c r="U975" s="326" t="s">
        <v>2040</v>
      </c>
      <c r="V975" s="332">
        <v>13252</v>
      </c>
      <c r="W975" s="333">
        <v>89018</v>
      </c>
    </row>
    <row r="976" spans="1:23" ht="45" customHeight="1" x14ac:dyDescent="0.4">
      <c r="A976" s="323">
        <v>890197</v>
      </c>
      <c r="B976" s="324" t="s">
        <v>5279</v>
      </c>
      <c r="C976" s="325" t="s">
        <v>3546</v>
      </c>
      <c r="D976" s="326" t="s">
        <v>2045</v>
      </c>
      <c r="E976" s="327" t="s">
        <v>1986</v>
      </c>
      <c r="F976" s="327" t="s">
        <v>5280</v>
      </c>
      <c r="G976" s="327" t="s">
        <v>1987</v>
      </c>
      <c r="H976" s="325" t="s">
        <v>2035</v>
      </c>
      <c r="I976" s="325" t="s">
        <v>2570</v>
      </c>
      <c r="J976" s="328">
        <v>89</v>
      </c>
      <c r="K976" s="329">
        <v>8923</v>
      </c>
      <c r="L976" s="325" t="s">
        <v>3547</v>
      </c>
      <c r="M976" s="326" t="s">
        <v>2076</v>
      </c>
      <c r="N976" s="326"/>
      <c r="O976" s="330">
        <v>77888.960000000006</v>
      </c>
      <c r="P976" s="330">
        <v>7236.68</v>
      </c>
      <c r="Q976" s="331">
        <v>8923</v>
      </c>
      <c r="R976" s="330">
        <v>6</v>
      </c>
      <c r="S976" s="330">
        <v>1</v>
      </c>
      <c r="T976" s="326" t="s">
        <v>170</v>
      </c>
      <c r="U976" s="326" t="s">
        <v>2040</v>
      </c>
      <c r="V976" s="332">
        <v>14971</v>
      </c>
      <c r="W976" s="333">
        <v>89056</v>
      </c>
    </row>
    <row r="977" spans="1:263" ht="45" customHeight="1" x14ac:dyDescent="0.4">
      <c r="A977" s="323">
        <v>891021</v>
      </c>
      <c r="B977" s="324" t="s">
        <v>5281</v>
      </c>
      <c r="C977" s="325" t="s">
        <v>3548</v>
      </c>
      <c r="D977" s="326" t="s">
        <v>2084</v>
      </c>
      <c r="E977" s="327" t="s">
        <v>3761</v>
      </c>
      <c r="F977" s="327"/>
      <c r="G977" s="327" t="s">
        <v>383</v>
      </c>
      <c r="H977" s="325" t="e">
        <v>#N/A</v>
      </c>
      <c r="I977" s="325" t="e">
        <v>#N/A</v>
      </c>
      <c r="J977" s="328">
        <v>89</v>
      </c>
      <c r="K977" s="329">
        <v>8910</v>
      </c>
      <c r="L977" s="325" t="s">
        <v>3319</v>
      </c>
      <c r="M977" s="326" t="s">
        <v>226</v>
      </c>
      <c r="N977" s="326"/>
      <c r="O977" s="330">
        <v>265.08</v>
      </c>
      <c r="P977" s="330">
        <v>7.01</v>
      </c>
      <c r="Q977" s="331">
        <v>8910</v>
      </c>
      <c r="R977" s="330">
        <v>150000</v>
      </c>
      <c r="S977" s="330">
        <v>1300</v>
      </c>
      <c r="T977" s="326" t="s">
        <v>170</v>
      </c>
      <c r="U977" s="326" t="s">
        <v>2040</v>
      </c>
      <c r="V977" s="332">
        <v>89133</v>
      </c>
      <c r="W977" s="333">
        <v>83340</v>
      </c>
    </row>
    <row r="978" spans="1:263" ht="45" customHeight="1" x14ac:dyDescent="0.4">
      <c r="A978" s="323">
        <v>891022</v>
      </c>
      <c r="B978" s="324" t="s">
        <v>5282</v>
      </c>
      <c r="C978" s="325" t="s">
        <v>3549</v>
      </c>
      <c r="D978" s="326" t="s">
        <v>2084</v>
      </c>
      <c r="E978" s="327" t="s">
        <v>1988</v>
      </c>
      <c r="F978" s="327"/>
      <c r="G978" s="327" t="s">
        <v>383</v>
      </c>
      <c r="H978" s="325" t="e">
        <v>#N/A</v>
      </c>
      <c r="I978" s="325" t="e">
        <v>#N/A</v>
      </c>
      <c r="J978" s="328">
        <v>89</v>
      </c>
      <c r="K978" s="329">
        <v>8910</v>
      </c>
      <c r="L978" s="325" t="s">
        <v>3319</v>
      </c>
      <c r="M978" s="326" t="s">
        <v>226</v>
      </c>
      <c r="N978" s="326"/>
      <c r="O978" s="330">
        <v>265.08</v>
      </c>
      <c r="P978" s="330">
        <v>7.01</v>
      </c>
      <c r="Q978" s="331">
        <v>8910</v>
      </c>
      <c r="R978" s="330">
        <v>150000</v>
      </c>
      <c r="S978" s="330">
        <v>1300</v>
      </c>
      <c r="T978" s="326" t="s">
        <v>170</v>
      </c>
      <c r="U978" s="326" t="s">
        <v>2040</v>
      </c>
      <c r="V978" s="332">
        <v>89150</v>
      </c>
      <c r="W978" s="333" t="s">
        <v>228</v>
      </c>
    </row>
    <row r="979" spans="1:263" ht="45" customHeight="1" x14ac:dyDescent="0.4">
      <c r="A979" s="323">
        <v>891023</v>
      </c>
      <c r="B979" s="324" t="s">
        <v>5283</v>
      </c>
      <c r="C979" s="325" t="s">
        <v>3550</v>
      </c>
      <c r="D979" s="326" t="s">
        <v>2084</v>
      </c>
      <c r="E979" s="327" t="s">
        <v>1989</v>
      </c>
      <c r="F979" s="327"/>
      <c r="G979" s="327" t="s">
        <v>383</v>
      </c>
      <c r="H979" s="325" t="e">
        <v>#N/A</v>
      </c>
      <c r="I979" s="325" t="e">
        <v>#N/A</v>
      </c>
      <c r="J979" s="328">
        <v>89</v>
      </c>
      <c r="K979" s="329">
        <v>8910</v>
      </c>
      <c r="L979" s="325" t="s">
        <v>3319</v>
      </c>
      <c r="M979" s="326" t="s">
        <v>226</v>
      </c>
      <c r="N979" s="326"/>
      <c r="O979" s="330">
        <v>265.08</v>
      </c>
      <c r="P979" s="330">
        <v>7.01</v>
      </c>
      <c r="Q979" s="331">
        <v>8910</v>
      </c>
      <c r="R979" s="330">
        <v>150000</v>
      </c>
      <c r="S979" s="330">
        <v>1300</v>
      </c>
      <c r="T979" s="326" t="s">
        <v>170</v>
      </c>
      <c r="U979" s="326" t="s">
        <v>2040</v>
      </c>
      <c r="V979" s="332">
        <v>89131</v>
      </c>
      <c r="W979" s="333">
        <v>83109</v>
      </c>
    </row>
    <row r="980" spans="1:263" ht="45" customHeight="1" x14ac:dyDescent="0.4">
      <c r="A980" s="323">
        <v>891024</v>
      </c>
      <c r="B980" s="324" t="s">
        <v>5284</v>
      </c>
      <c r="C980" s="325" t="s">
        <v>3551</v>
      </c>
      <c r="D980" s="326" t="s">
        <v>2084</v>
      </c>
      <c r="E980" s="327" t="s">
        <v>1990</v>
      </c>
      <c r="F980" s="327"/>
      <c r="G980" s="327" t="s">
        <v>383</v>
      </c>
      <c r="H980" s="325" t="e">
        <v>#N/A</v>
      </c>
      <c r="I980" s="325" t="e">
        <v>#N/A</v>
      </c>
      <c r="J980" s="328">
        <v>89</v>
      </c>
      <c r="K980" s="329">
        <v>8910</v>
      </c>
      <c r="L980" s="325" t="s">
        <v>3319</v>
      </c>
      <c r="M980" s="326" t="s">
        <v>226</v>
      </c>
      <c r="N980" s="326"/>
      <c r="O980" s="330">
        <v>265.08</v>
      </c>
      <c r="P980" s="330">
        <v>7.01</v>
      </c>
      <c r="Q980" s="331">
        <v>8910</v>
      </c>
      <c r="R980" s="330">
        <v>150000</v>
      </c>
      <c r="S980" s="330">
        <v>1300</v>
      </c>
      <c r="T980" s="326" t="s">
        <v>170</v>
      </c>
      <c r="U980" s="326" t="s">
        <v>2040</v>
      </c>
      <c r="V980" s="332">
        <v>89120</v>
      </c>
      <c r="W980" s="333">
        <v>89009</v>
      </c>
    </row>
    <row r="981" spans="1:263" ht="45" customHeight="1" x14ac:dyDescent="0.4">
      <c r="A981" s="323">
        <v>892921</v>
      </c>
      <c r="B981" s="324" t="s">
        <v>5285</v>
      </c>
      <c r="C981" s="325" t="s">
        <v>3552</v>
      </c>
      <c r="D981" s="326" t="s">
        <v>2045</v>
      </c>
      <c r="E981" s="327" t="s">
        <v>1991</v>
      </c>
      <c r="F981" s="327"/>
      <c r="G981" s="327" t="s">
        <v>383</v>
      </c>
      <c r="H981" s="325" t="e">
        <v>#N/A</v>
      </c>
      <c r="I981" s="325" t="e">
        <v>#N/A</v>
      </c>
      <c r="J981" s="328">
        <v>88</v>
      </c>
      <c r="K981" s="329" t="s">
        <v>5286</v>
      </c>
      <c r="L981" s="325" t="s">
        <v>3553</v>
      </c>
      <c r="M981" s="326" t="s">
        <v>2076</v>
      </c>
      <c r="N981" s="326"/>
      <c r="O981" s="330">
        <v>7512.58</v>
      </c>
      <c r="P981" s="330">
        <v>39.42</v>
      </c>
      <c r="Q981" s="331">
        <v>8840</v>
      </c>
      <c r="R981" s="330">
        <v>100</v>
      </c>
      <c r="S981" s="330">
        <v>1</v>
      </c>
      <c r="T981" s="326" t="s">
        <v>170</v>
      </c>
      <c r="U981" s="326" t="s">
        <v>2040</v>
      </c>
      <c r="V981" s="332">
        <v>89210</v>
      </c>
      <c r="W981" s="333" t="s">
        <v>228</v>
      </c>
      <c r="X981" s="322"/>
      <c r="Y981" s="322"/>
      <c r="Z981" s="322"/>
      <c r="AA981" s="322"/>
      <c r="AB981" s="322"/>
      <c r="AC981" s="322"/>
      <c r="AD981" s="322"/>
      <c r="AE981" s="322"/>
      <c r="AF981" s="322"/>
      <c r="AG981" s="322"/>
      <c r="AH981" s="322"/>
      <c r="AI981" s="322"/>
      <c r="AJ981" s="322"/>
      <c r="AK981" s="322"/>
      <c r="AL981" s="322"/>
      <c r="AM981" s="322"/>
      <c r="AN981" s="322"/>
      <c r="AO981" s="322"/>
      <c r="AP981" s="322"/>
      <c r="AQ981" s="322"/>
      <c r="AR981" s="322"/>
      <c r="AS981" s="322"/>
      <c r="AT981" s="322"/>
      <c r="AU981" s="322"/>
      <c r="AV981" s="322"/>
      <c r="AW981" s="322"/>
      <c r="AX981" s="322"/>
      <c r="AY981" s="322"/>
      <c r="AZ981" s="322"/>
      <c r="BA981" s="322"/>
      <c r="BB981" s="322"/>
      <c r="BC981" s="322"/>
      <c r="BD981" s="322"/>
      <c r="BE981" s="322"/>
      <c r="BF981" s="322"/>
      <c r="BG981" s="322"/>
      <c r="BH981" s="322"/>
      <c r="BI981" s="322"/>
      <c r="BJ981" s="322"/>
      <c r="BK981" s="322"/>
      <c r="BL981" s="322"/>
      <c r="BM981" s="322"/>
      <c r="BN981" s="322"/>
      <c r="BO981" s="322"/>
      <c r="BP981" s="322"/>
      <c r="BQ981" s="322"/>
      <c r="BR981" s="322"/>
      <c r="BS981" s="322"/>
      <c r="BT981" s="322"/>
      <c r="BU981" s="322"/>
      <c r="BV981" s="322"/>
      <c r="BW981" s="322"/>
      <c r="BX981" s="322"/>
      <c r="BY981" s="322"/>
      <c r="BZ981" s="322"/>
      <c r="CA981" s="322"/>
      <c r="CB981" s="322"/>
      <c r="CC981" s="322"/>
      <c r="CD981" s="322"/>
      <c r="CE981" s="322"/>
      <c r="CF981" s="322"/>
      <c r="CG981" s="322"/>
      <c r="CH981" s="322"/>
      <c r="CI981" s="322"/>
      <c r="CJ981" s="322"/>
      <c r="CK981" s="322"/>
      <c r="CL981" s="322"/>
      <c r="CM981" s="322"/>
      <c r="CN981" s="322"/>
      <c r="CO981" s="322"/>
      <c r="CP981" s="322"/>
      <c r="CQ981" s="322"/>
      <c r="CR981" s="322"/>
      <c r="CS981" s="322"/>
      <c r="CT981" s="322"/>
      <c r="CU981" s="322"/>
      <c r="CV981" s="322"/>
      <c r="CW981" s="322"/>
      <c r="CX981" s="322"/>
      <c r="CY981" s="322"/>
      <c r="CZ981" s="322"/>
      <c r="DA981" s="322"/>
      <c r="DB981" s="322"/>
      <c r="DC981" s="322"/>
      <c r="DD981" s="322"/>
      <c r="DE981" s="322"/>
      <c r="DF981" s="322"/>
      <c r="DG981" s="322"/>
      <c r="DH981" s="322"/>
      <c r="DI981" s="322"/>
      <c r="DJ981" s="322"/>
      <c r="DK981" s="322"/>
      <c r="DL981" s="322"/>
      <c r="DM981" s="322"/>
      <c r="DN981" s="322"/>
      <c r="DO981" s="322"/>
      <c r="DP981" s="322"/>
      <c r="DQ981" s="322"/>
      <c r="DR981" s="322"/>
      <c r="DS981" s="322"/>
      <c r="DT981" s="322"/>
      <c r="DU981" s="322"/>
      <c r="DV981" s="322"/>
      <c r="DW981" s="322"/>
      <c r="DX981" s="322"/>
      <c r="DY981" s="322"/>
      <c r="DZ981" s="322"/>
      <c r="EA981" s="322"/>
      <c r="EB981" s="322"/>
      <c r="EC981" s="322"/>
      <c r="ED981" s="322"/>
      <c r="EE981" s="322"/>
      <c r="EF981" s="322"/>
      <c r="EG981" s="322"/>
      <c r="EH981" s="322"/>
      <c r="EI981" s="322"/>
      <c r="EJ981" s="322"/>
      <c r="EK981" s="322"/>
      <c r="EL981" s="322"/>
      <c r="EM981" s="322"/>
      <c r="EN981" s="322"/>
      <c r="EO981" s="322"/>
      <c r="EP981" s="322"/>
      <c r="EQ981" s="322"/>
      <c r="ER981" s="322"/>
      <c r="ES981" s="322"/>
      <c r="ET981" s="322"/>
      <c r="EU981" s="322"/>
      <c r="EV981" s="322"/>
      <c r="EW981" s="322"/>
      <c r="EX981" s="322"/>
      <c r="EY981" s="322"/>
      <c r="EZ981" s="322"/>
      <c r="FA981" s="322"/>
      <c r="FB981" s="322"/>
      <c r="FC981" s="322"/>
      <c r="FD981" s="322"/>
      <c r="FE981" s="322"/>
      <c r="FF981" s="322"/>
      <c r="FG981" s="322"/>
      <c r="FH981" s="322"/>
      <c r="FI981" s="322"/>
      <c r="FJ981" s="322"/>
      <c r="FK981" s="322"/>
      <c r="FL981" s="322"/>
      <c r="FM981" s="322"/>
      <c r="FN981" s="322"/>
      <c r="FO981" s="322"/>
      <c r="FP981" s="322"/>
      <c r="FQ981" s="322"/>
      <c r="FR981" s="322"/>
      <c r="FS981" s="322"/>
      <c r="FT981" s="322"/>
      <c r="FU981" s="322"/>
      <c r="FV981" s="322"/>
      <c r="FW981" s="322"/>
      <c r="FX981" s="322"/>
      <c r="FY981" s="322"/>
      <c r="FZ981" s="322"/>
      <c r="GA981" s="322"/>
      <c r="GB981" s="322"/>
      <c r="GC981" s="322"/>
      <c r="GD981" s="322"/>
      <c r="GE981" s="322"/>
      <c r="GF981" s="322"/>
      <c r="GG981" s="322"/>
      <c r="GH981" s="322"/>
      <c r="GI981" s="322"/>
      <c r="GJ981" s="322"/>
      <c r="GK981" s="322"/>
      <c r="GL981" s="322"/>
      <c r="GM981" s="322"/>
      <c r="GN981" s="322"/>
      <c r="GO981" s="322"/>
      <c r="GP981" s="322"/>
      <c r="GQ981" s="322"/>
      <c r="GR981" s="322"/>
      <c r="GS981" s="322"/>
      <c r="GT981" s="322"/>
      <c r="GU981" s="322"/>
      <c r="GV981" s="322"/>
      <c r="GW981" s="322"/>
      <c r="GX981" s="322"/>
      <c r="GY981" s="322"/>
      <c r="GZ981" s="322"/>
      <c r="HA981" s="322"/>
      <c r="HB981" s="322"/>
      <c r="HC981" s="322"/>
      <c r="HD981" s="322"/>
      <c r="HE981" s="322"/>
      <c r="HF981" s="322"/>
      <c r="HG981" s="322"/>
      <c r="HH981" s="322"/>
      <c r="HI981" s="322"/>
      <c r="HJ981" s="322"/>
      <c r="HK981" s="322"/>
      <c r="HL981" s="322"/>
      <c r="HM981" s="322"/>
      <c r="HN981" s="322"/>
      <c r="HO981" s="322"/>
      <c r="HP981" s="322"/>
      <c r="HQ981" s="322"/>
      <c r="HR981" s="322"/>
      <c r="HS981" s="322"/>
      <c r="HT981" s="322"/>
      <c r="HU981" s="322"/>
      <c r="HV981" s="322"/>
      <c r="HW981" s="322"/>
      <c r="HX981" s="322"/>
      <c r="HY981" s="322"/>
      <c r="HZ981" s="322"/>
      <c r="IA981" s="322"/>
      <c r="IB981" s="322"/>
      <c r="IC981" s="322"/>
      <c r="ID981" s="322"/>
      <c r="IE981" s="322"/>
      <c r="IF981" s="322"/>
      <c r="IG981" s="322"/>
      <c r="IH981" s="322"/>
      <c r="II981" s="322"/>
      <c r="IJ981" s="322"/>
      <c r="IK981" s="322"/>
      <c r="IL981" s="322"/>
      <c r="IM981" s="322"/>
      <c r="IN981" s="322"/>
      <c r="IO981" s="322"/>
      <c r="IP981" s="322"/>
      <c r="IQ981" s="322"/>
      <c r="IR981" s="322"/>
      <c r="IS981" s="322"/>
      <c r="IT981" s="322"/>
      <c r="IU981" s="322"/>
      <c r="IV981" s="322"/>
      <c r="IW981" s="322"/>
      <c r="IX981" s="322"/>
      <c r="IY981" s="322"/>
      <c r="IZ981" s="322"/>
      <c r="JA981" s="322"/>
      <c r="JB981" s="322"/>
      <c r="JC981" s="322"/>
    </row>
    <row r="982" spans="1:263" ht="45" customHeight="1" x14ac:dyDescent="0.4">
      <c r="A982" s="323">
        <v>892922</v>
      </c>
      <c r="B982" s="324" t="s">
        <v>5287</v>
      </c>
      <c r="C982" s="325" t="s">
        <v>3554</v>
      </c>
      <c r="D982" s="326" t="s">
        <v>2045</v>
      </c>
      <c r="E982" s="327" t="s">
        <v>1992</v>
      </c>
      <c r="F982" s="327"/>
      <c r="G982" s="327" t="s">
        <v>383</v>
      </c>
      <c r="H982" s="325" t="e">
        <v>#N/A</v>
      </c>
      <c r="I982" s="325" t="e">
        <v>#N/A</v>
      </c>
      <c r="J982" s="328">
        <v>84</v>
      </c>
      <c r="K982" s="329">
        <v>8452</v>
      </c>
      <c r="L982" s="325" t="s">
        <v>3508</v>
      </c>
      <c r="M982" s="326" t="s">
        <v>3383</v>
      </c>
      <c r="N982" s="326"/>
      <c r="O982" s="330">
        <v>85.35</v>
      </c>
      <c r="P982" s="330">
        <v>5.27</v>
      </c>
      <c r="Q982" s="331">
        <v>8452</v>
      </c>
      <c r="R982" s="330">
        <v>8000</v>
      </c>
      <c r="S982" s="330">
        <v>800</v>
      </c>
      <c r="T982" s="326" t="s">
        <v>170</v>
      </c>
      <c r="U982" s="326" t="s">
        <v>2040</v>
      </c>
      <c r="V982" s="332">
        <v>89260</v>
      </c>
      <c r="W982" s="333" t="s">
        <v>228</v>
      </c>
      <c r="X982" s="322"/>
      <c r="Y982" s="322"/>
      <c r="Z982" s="322"/>
      <c r="AA982" s="322"/>
      <c r="AB982" s="322"/>
      <c r="AC982" s="322"/>
      <c r="AD982" s="322"/>
      <c r="AE982" s="322"/>
      <c r="AF982" s="322"/>
      <c r="AG982" s="322"/>
      <c r="AH982" s="322"/>
      <c r="AI982" s="322"/>
      <c r="AJ982" s="322"/>
      <c r="AK982" s="322"/>
      <c r="AL982" s="322"/>
      <c r="AM982" s="322"/>
      <c r="AN982" s="322"/>
      <c r="AO982" s="322"/>
      <c r="AP982" s="322"/>
      <c r="AQ982" s="322"/>
      <c r="AR982" s="322"/>
      <c r="AS982" s="322"/>
      <c r="AT982" s="322"/>
      <c r="AU982" s="322"/>
      <c r="AV982" s="322"/>
      <c r="AW982" s="322"/>
      <c r="AX982" s="322"/>
      <c r="AY982" s="322"/>
      <c r="AZ982" s="322"/>
      <c r="BA982" s="322"/>
      <c r="BB982" s="322"/>
      <c r="BC982" s="322"/>
      <c r="BD982" s="322"/>
      <c r="BE982" s="322"/>
      <c r="BF982" s="322"/>
      <c r="BG982" s="322"/>
      <c r="BH982" s="322"/>
      <c r="BI982" s="322"/>
      <c r="BJ982" s="322"/>
      <c r="BK982" s="322"/>
      <c r="BL982" s="322"/>
      <c r="BM982" s="322"/>
      <c r="BN982" s="322"/>
      <c r="BO982" s="322"/>
      <c r="BP982" s="322"/>
      <c r="BQ982" s="322"/>
      <c r="BR982" s="322"/>
      <c r="BS982" s="322"/>
      <c r="BT982" s="322"/>
      <c r="BU982" s="322"/>
      <c r="BV982" s="322"/>
      <c r="BW982" s="322"/>
      <c r="BX982" s="322"/>
      <c r="BY982" s="322"/>
      <c r="BZ982" s="322"/>
      <c r="CA982" s="322"/>
      <c r="CB982" s="322"/>
      <c r="CC982" s="322"/>
      <c r="CD982" s="322"/>
      <c r="CE982" s="322"/>
      <c r="CF982" s="322"/>
      <c r="CG982" s="322"/>
      <c r="CH982" s="322"/>
      <c r="CI982" s="322"/>
      <c r="CJ982" s="322"/>
      <c r="CK982" s="322"/>
      <c r="CL982" s="322"/>
      <c r="CM982" s="322"/>
      <c r="CN982" s="322"/>
      <c r="CO982" s="322"/>
      <c r="CP982" s="322"/>
      <c r="CQ982" s="322"/>
      <c r="CR982" s="322"/>
      <c r="CS982" s="322"/>
      <c r="CT982" s="322"/>
      <c r="CU982" s="322"/>
      <c r="CV982" s="322"/>
      <c r="CW982" s="322"/>
      <c r="CX982" s="322"/>
      <c r="CY982" s="322"/>
      <c r="CZ982" s="322"/>
      <c r="DA982" s="322"/>
      <c r="DB982" s="322"/>
      <c r="DC982" s="322"/>
      <c r="DD982" s="322"/>
      <c r="DE982" s="322"/>
      <c r="DF982" s="322"/>
      <c r="DG982" s="322"/>
      <c r="DH982" s="322"/>
      <c r="DI982" s="322"/>
      <c r="DJ982" s="322"/>
      <c r="DK982" s="322"/>
      <c r="DL982" s="322"/>
      <c r="DM982" s="322"/>
      <c r="DN982" s="322"/>
      <c r="DO982" s="322"/>
      <c r="DP982" s="322"/>
      <c r="DQ982" s="322"/>
      <c r="DR982" s="322"/>
      <c r="DS982" s="322"/>
      <c r="DT982" s="322"/>
      <c r="DU982" s="322"/>
      <c r="DV982" s="322"/>
      <c r="DW982" s="322"/>
      <c r="DX982" s="322"/>
      <c r="DY982" s="322"/>
      <c r="DZ982" s="322"/>
      <c r="EA982" s="322"/>
      <c r="EB982" s="322"/>
      <c r="EC982" s="322"/>
      <c r="ED982" s="322"/>
      <c r="EE982" s="322"/>
      <c r="EF982" s="322"/>
      <c r="EG982" s="322"/>
      <c r="EH982" s="322"/>
      <c r="EI982" s="322"/>
      <c r="EJ982" s="322"/>
      <c r="EK982" s="322"/>
      <c r="EL982" s="322"/>
      <c r="EM982" s="322"/>
      <c r="EN982" s="322"/>
      <c r="EO982" s="322"/>
      <c r="EP982" s="322"/>
      <c r="EQ982" s="322"/>
      <c r="ER982" s="322"/>
      <c r="ES982" s="322"/>
      <c r="ET982" s="322"/>
      <c r="EU982" s="322"/>
      <c r="EV982" s="322"/>
      <c r="EW982" s="322"/>
      <c r="EX982" s="322"/>
      <c r="EY982" s="322"/>
      <c r="EZ982" s="322"/>
      <c r="FA982" s="322"/>
      <c r="FB982" s="322"/>
      <c r="FC982" s="322"/>
      <c r="FD982" s="322"/>
      <c r="FE982" s="322"/>
      <c r="FF982" s="322"/>
      <c r="FG982" s="322"/>
      <c r="FH982" s="322"/>
      <c r="FI982" s="322"/>
      <c r="FJ982" s="322"/>
      <c r="FK982" s="322"/>
      <c r="FL982" s="322"/>
      <c r="FM982" s="322"/>
      <c r="FN982" s="322"/>
      <c r="FO982" s="322"/>
      <c r="FP982" s="322"/>
      <c r="FQ982" s="322"/>
      <c r="FR982" s="322"/>
      <c r="FS982" s="322"/>
      <c r="FT982" s="322"/>
      <c r="FU982" s="322"/>
      <c r="FV982" s="322"/>
      <c r="FW982" s="322"/>
      <c r="FX982" s="322"/>
      <c r="FY982" s="322"/>
      <c r="FZ982" s="322"/>
      <c r="GA982" s="322"/>
      <c r="GB982" s="322"/>
      <c r="GC982" s="322"/>
      <c r="GD982" s="322"/>
      <c r="GE982" s="322"/>
      <c r="GF982" s="322"/>
      <c r="GG982" s="322"/>
      <c r="GH982" s="322"/>
      <c r="GI982" s="322"/>
      <c r="GJ982" s="322"/>
      <c r="GK982" s="322"/>
      <c r="GL982" s="322"/>
      <c r="GM982" s="322"/>
      <c r="GN982" s="322"/>
      <c r="GO982" s="322"/>
      <c r="GP982" s="322"/>
      <c r="GQ982" s="322"/>
      <c r="GR982" s="322"/>
      <c r="GS982" s="322"/>
      <c r="GT982" s="322"/>
      <c r="GU982" s="322"/>
      <c r="GV982" s="322"/>
      <c r="GW982" s="322"/>
      <c r="GX982" s="322"/>
      <c r="GY982" s="322"/>
      <c r="GZ982" s="322"/>
      <c r="HA982" s="322"/>
      <c r="HB982" s="322"/>
      <c r="HC982" s="322"/>
      <c r="HD982" s="322"/>
      <c r="HE982" s="322"/>
      <c r="HF982" s="322"/>
      <c r="HG982" s="322"/>
      <c r="HH982" s="322"/>
      <c r="HI982" s="322"/>
      <c r="HJ982" s="322"/>
      <c r="HK982" s="322"/>
      <c r="HL982" s="322"/>
      <c r="HM982" s="322"/>
      <c r="HN982" s="322"/>
      <c r="HO982" s="322"/>
      <c r="HP982" s="322"/>
      <c r="HQ982" s="322"/>
      <c r="HR982" s="322"/>
      <c r="HS982" s="322"/>
      <c r="HT982" s="322"/>
      <c r="HU982" s="322"/>
      <c r="HV982" s="322"/>
      <c r="HW982" s="322"/>
      <c r="HX982" s="322"/>
      <c r="HY982" s="322"/>
      <c r="HZ982" s="322"/>
      <c r="IA982" s="322"/>
      <c r="IB982" s="322"/>
      <c r="IC982" s="322"/>
      <c r="ID982" s="322"/>
      <c r="IE982" s="322"/>
      <c r="IF982" s="322"/>
      <c r="IG982" s="322"/>
      <c r="IH982" s="322"/>
      <c r="II982" s="322"/>
      <c r="IJ982" s="322"/>
      <c r="IK982" s="322"/>
      <c r="IL982" s="322"/>
      <c r="IM982" s="322"/>
      <c r="IN982" s="322"/>
      <c r="IO982" s="322"/>
      <c r="IP982" s="322"/>
      <c r="IQ982" s="322"/>
      <c r="IR982" s="322"/>
      <c r="IS982" s="322"/>
      <c r="IT982" s="322"/>
      <c r="IU982" s="322"/>
      <c r="IV982" s="322"/>
      <c r="IW982" s="322"/>
      <c r="IX982" s="322"/>
      <c r="IY982" s="322"/>
      <c r="IZ982" s="322"/>
      <c r="JA982" s="322"/>
      <c r="JB982" s="322"/>
      <c r="JC982" s="322"/>
    </row>
    <row r="983" spans="1:263" ht="45" customHeight="1" x14ac:dyDescent="0.4">
      <c r="A983" s="323">
        <v>892923</v>
      </c>
      <c r="B983" s="324" t="s">
        <v>5288</v>
      </c>
      <c r="C983" s="325" t="s">
        <v>3555</v>
      </c>
      <c r="D983" s="326" t="s">
        <v>2045</v>
      </c>
      <c r="E983" s="327" t="s">
        <v>1993</v>
      </c>
      <c r="F983" s="327"/>
      <c r="G983" s="327" t="s">
        <v>383</v>
      </c>
      <c r="H983" s="325" t="e">
        <v>#N/A</v>
      </c>
      <c r="I983" s="325" t="e">
        <v>#N/A</v>
      </c>
      <c r="J983" s="328">
        <v>14</v>
      </c>
      <c r="K983" s="329">
        <v>1499</v>
      </c>
      <c r="L983" s="325" t="s">
        <v>2327</v>
      </c>
      <c r="M983" s="326" t="s">
        <v>2076</v>
      </c>
      <c r="N983" s="326"/>
      <c r="O983" s="330">
        <v>212226.75</v>
      </c>
      <c r="P983" s="330">
        <v>239.72</v>
      </c>
      <c r="Q983" s="331">
        <v>1499</v>
      </c>
      <c r="R983" s="330">
        <v>35</v>
      </c>
      <c r="S983" s="330">
        <v>1</v>
      </c>
      <c r="T983" s="326" t="s">
        <v>170</v>
      </c>
      <c r="U983" s="326" t="s">
        <v>2040</v>
      </c>
      <c r="V983" s="332">
        <v>89215</v>
      </c>
      <c r="W983" s="333"/>
      <c r="X983" s="322"/>
      <c r="Y983" s="322"/>
      <c r="Z983" s="322"/>
      <c r="AA983" s="322"/>
      <c r="AB983" s="322"/>
      <c r="AC983" s="322"/>
      <c r="AD983" s="322"/>
      <c r="AE983" s="322"/>
      <c r="AF983" s="322"/>
      <c r="AG983" s="322"/>
      <c r="AH983" s="322"/>
      <c r="AI983" s="322"/>
      <c r="AJ983" s="322"/>
      <c r="AK983" s="322"/>
      <c r="AL983" s="322"/>
      <c r="AM983" s="322"/>
      <c r="AN983" s="322"/>
      <c r="AO983" s="322"/>
      <c r="AP983" s="322"/>
      <c r="AQ983" s="322"/>
      <c r="AR983" s="322"/>
      <c r="AS983" s="322"/>
      <c r="AT983" s="322"/>
      <c r="AU983" s="322"/>
      <c r="AV983" s="322"/>
      <c r="AW983" s="322"/>
      <c r="AX983" s="322"/>
      <c r="AY983" s="322"/>
      <c r="AZ983" s="322"/>
      <c r="BA983" s="322"/>
      <c r="BB983" s="322"/>
      <c r="BC983" s="322"/>
      <c r="BD983" s="322"/>
      <c r="BE983" s="322"/>
      <c r="BF983" s="322"/>
      <c r="BG983" s="322"/>
      <c r="BH983" s="322"/>
      <c r="BI983" s="322"/>
      <c r="BJ983" s="322"/>
      <c r="BK983" s="322"/>
      <c r="BL983" s="322"/>
      <c r="BM983" s="322"/>
      <c r="BN983" s="322"/>
      <c r="BO983" s="322"/>
      <c r="BP983" s="322"/>
      <c r="BQ983" s="322"/>
      <c r="BR983" s="322"/>
      <c r="BS983" s="322"/>
      <c r="BT983" s="322"/>
      <c r="BU983" s="322"/>
      <c r="BV983" s="322"/>
      <c r="BW983" s="322"/>
      <c r="BX983" s="322"/>
      <c r="BY983" s="322"/>
      <c r="BZ983" s="322"/>
      <c r="CA983" s="322"/>
      <c r="CB983" s="322"/>
      <c r="CC983" s="322"/>
      <c r="CD983" s="322"/>
      <c r="CE983" s="322"/>
      <c r="CF983" s="322"/>
      <c r="CG983" s="322"/>
      <c r="CH983" s="322"/>
      <c r="CI983" s="322"/>
      <c r="CJ983" s="322"/>
      <c r="CK983" s="322"/>
      <c r="CL983" s="322"/>
      <c r="CM983" s="322"/>
      <c r="CN983" s="322"/>
      <c r="CO983" s="322"/>
      <c r="CP983" s="322"/>
      <c r="CQ983" s="322"/>
      <c r="CR983" s="322"/>
      <c r="CS983" s="322"/>
      <c r="CT983" s="322"/>
      <c r="CU983" s="322"/>
      <c r="CV983" s="322"/>
      <c r="CW983" s="322"/>
      <c r="CX983" s="322"/>
      <c r="CY983" s="322"/>
      <c r="CZ983" s="322"/>
      <c r="DA983" s="322"/>
      <c r="DB983" s="322"/>
      <c r="DC983" s="322"/>
      <c r="DD983" s="322"/>
      <c r="DE983" s="322"/>
      <c r="DF983" s="322"/>
      <c r="DG983" s="322"/>
      <c r="DH983" s="322"/>
      <c r="DI983" s="322"/>
      <c r="DJ983" s="322"/>
      <c r="DK983" s="322"/>
      <c r="DL983" s="322"/>
      <c r="DM983" s="322"/>
      <c r="DN983" s="322"/>
      <c r="DO983" s="322"/>
      <c r="DP983" s="322"/>
      <c r="DQ983" s="322"/>
      <c r="DR983" s="322"/>
      <c r="DS983" s="322"/>
      <c r="DT983" s="322"/>
      <c r="DU983" s="322"/>
      <c r="DV983" s="322"/>
      <c r="DW983" s="322"/>
      <c r="DX983" s="322"/>
      <c r="DY983" s="322"/>
      <c r="DZ983" s="322"/>
      <c r="EA983" s="322"/>
      <c r="EB983" s="322"/>
      <c r="EC983" s="322"/>
      <c r="ED983" s="322"/>
      <c r="EE983" s="322"/>
      <c r="EF983" s="322"/>
      <c r="EG983" s="322"/>
      <c r="EH983" s="322"/>
      <c r="EI983" s="322"/>
      <c r="EJ983" s="322"/>
      <c r="EK983" s="322"/>
      <c r="EL983" s="322"/>
      <c r="EM983" s="322"/>
      <c r="EN983" s="322"/>
      <c r="EO983" s="322"/>
      <c r="EP983" s="322"/>
      <c r="EQ983" s="322"/>
      <c r="ER983" s="322"/>
      <c r="ES983" s="322"/>
      <c r="ET983" s="322"/>
      <c r="EU983" s="322"/>
      <c r="EV983" s="322"/>
      <c r="EW983" s="322"/>
      <c r="EX983" s="322"/>
      <c r="EY983" s="322"/>
      <c r="EZ983" s="322"/>
      <c r="FA983" s="322"/>
      <c r="FB983" s="322"/>
      <c r="FC983" s="322"/>
      <c r="FD983" s="322"/>
      <c r="FE983" s="322"/>
      <c r="FF983" s="322"/>
      <c r="FG983" s="322"/>
      <c r="FH983" s="322"/>
      <c r="FI983" s="322"/>
      <c r="FJ983" s="322"/>
      <c r="FK983" s="322"/>
      <c r="FL983" s="322"/>
      <c r="FM983" s="322"/>
      <c r="FN983" s="322"/>
      <c r="FO983" s="322"/>
      <c r="FP983" s="322"/>
      <c r="FQ983" s="322"/>
      <c r="FR983" s="322"/>
      <c r="FS983" s="322"/>
      <c r="FT983" s="322"/>
      <c r="FU983" s="322"/>
      <c r="FV983" s="322"/>
      <c r="FW983" s="322"/>
      <c r="FX983" s="322"/>
      <c r="FY983" s="322"/>
      <c r="FZ983" s="322"/>
      <c r="GA983" s="322"/>
      <c r="GB983" s="322"/>
      <c r="GC983" s="322"/>
      <c r="GD983" s="322"/>
      <c r="GE983" s="322"/>
      <c r="GF983" s="322"/>
      <c r="GG983" s="322"/>
      <c r="GH983" s="322"/>
      <c r="GI983" s="322"/>
      <c r="GJ983" s="322"/>
      <c r="GK983" s="322"/>
      <c r="GL983" s="322"/>
      <c r="GM983" s="322"/>
      <c r="GN983" s="322"/>
      <c r="GO983" s="322"/>
      <c r="GP983" s="322"/>
      <c r="GQ983" s="322"/>
      <c r="GR983" s="322"/>
      <c r="GS983" s="322"/>
      <c r="GT983" s="322"/>
      <c r="GU983" s="322"/>
      <c r="GV983" s="322"/>
      <c r="GW983" s="322"/>
      <c r="GX983" s="322"/>
      <c r="GY983" s="322"/>
      <c r="GZ983" s="322"/>
      <c r="HA983" s="322"/>
      <c r="HB983" s="322"/>
      <c r="HC983" s="322"/>
      <c r="HD983" s="322"/>
      <c r="HE983" s="322"/>
      <c r="HF983" s="322"/>
      <c r="HG983" s="322"/>
      <c r="HH983" s="322"/>
      <c r="HI983" s="322"/>
      <c r="HJ983" s="322"/>
      <c r="HK983" s="322"/>
      <c r="HL983" s="322"/>
      <c r="HM983" s="322"/>
      <c r="HN983" s="322"/>
      <c r="HO983" s="322"/>
      <c r="HP983" s="322"/>
      <c r="HQ983" s="322"/>
      <c r="HR983" s="322"/>
      <c r="HS983" s="322"/>
      <c r="HT983" s="322"/>
      <c r="HU983" s="322"/>
      <c r="HV983" s="322"/>
      <c r="HW983" s="322"/>
      <c r="HX983" s="322"/>
      <c r="HY983" s="322"/>
      <c r="HZ983" s="322"/>
      <c r="IA983" s="322"/>
      <c r="IB983" s="322"/>
      <c r="IC983" s="322"/>
      <c r="ID983" s="322"/>
      <c r="IE983" s="322"/>
      <c r="IF983" s="322"/>
      <c r="IG983" s="322"/>
      <c r="IH983" s="322"/>
      <c r="II983" s="322"/>
      <c r="IJ983" s="322"/>
      <c r="IK983" s="322"/>
      <c r="IL983" s="322"/>
      <c r="IM983" s="322"/>
      <c r="IN983" s="322"/>
      <c r="IO983" s="322"/>
      <c r="IP983" s="322"/>
      <c r="IQ983" s="322"/>
      <c r="IR983" s="322"/>
      <c r="IS983" s="322"/>
      <c r="IT983" s="322"/>
      <c r="IU983" s="322"/>
      <c r="IV983" s="322"/>
      <c r="IW983" s="322"/>
      <c r="IX983" s="322"/>
      <c r="IY983" s="322"/>
      <c r="IZ983" s="322"/>
      <c r="JA983" s="322"/>
      <c r="JB983" s="322"/>
      <c r="JC983" s="322"/>
    </row>
    <row r="984" spans="1:263" ht="45" customHeight="1" x14ac:dyDescent="0.4">
      <c r="A984" s="323">
        <v>892924</v>
      </c>
      <c r="B984" s="324" t="s">
        <v>5289</v>
      </c>
      <c r="C984" s="325" t="s">
        <v>1994</v>
      </c>
      <c r="D984" s="326" t="s">
        <v>2045</v>
      </c>
      <c r="E984" s="327" t="s">
        <v>5290</v>
      </c>
      <c r="F984" s="327" t="s">
        <v>3915</v>
      </c>
      <c r="G984" s="327" t="s">
        <v>383</v>
      </c>
      <c r="H984" s="325" t="e">
        <v>#N/A</v>
      </c>
      <c r="I984" s="325" t="e">
        <v>#N/A</v>
      </c>
      <c r="J984" s="328">
        <v>82</v>
      </c>
      <c r="K984" s="329">
        <v>8261</v>
      </c>
      <c r="L984" s="325" t="s">
        <v>3898</v>
      </c>
      <c r="M984" s="326" t="s">
        <v>2818</v>
      </c>
      <c r="N984" s="326"/>
      <c r="O984" s="330">
        <v>7224.7</v>
      </c>
      <c r="P984" s="330">
        <v>77.34</v>
      </c>
      <c r="Q984" s="331">
        <v>8261</v>
      </c>
      <c r="R984" s="330">
        <v>4600</v>
      </c>
      <c r="S984" s="330">
        <v>260</v>
      </c>
      <c r="T984" s="326" t="s">
        <v>170</v>
      </c>
      <c r="U984" s="326" t="s">
        <v>2040</v>
      </c>
      <c r="V984" s="332">
        <v>89410</v>
      </c>
      <c r="W984" s="333">
        <v>82620</v>
      </c>
      <c r="X984" s="322"/>
      <c r="Y984" s="322"/>
      <c r="Z984" s="322"/>
      <c r="AA984" s="322"/>
      <c r="AB984" s="322"/>
      <c r="AC984" s="322"/>
      <c r="AD984" s="322"/>
      <c r="AE984" s="322"/>
      <c r="AF984" s="322"/>
      <c r="AG984" s="322"/>
      <c r="AH984" s="322"/>
      <c r="AI984" s="322"/>
      <c r="AJ984" s="322"/>
      <c r="AK984" s="322"/>
      <c r="AL984" s="322"/>
      <c r="AM984" s="322"/>
      <c r="AN984" s="322"/>
      <c r="AO984" s="322"/>
      <c r="AP984" s="322"/>
      <c r="AQ984" s="322"/>
      <c r="AR984" s="322"/>
      <c r="AS984" s="322"/>
      <c r="AT984" s="322"/>
      <c r="AU984" s="322"/>
      <c r="AV984" s="322"/>
      <c r="AW984" s="322"/>
      <c r="AX984" s="322"/>
      <c r="AY984" s="322"/>
      <c r="AZ984" s="322"/>
      <c r="BA984" s="322"/>
      <c r="BB984" s="322"/>
      <c r="BC984" s="322"/>
      <c r="BD984" s="322"/>
      <c r="BE984" s="322"/>
      <c r="BF984" s="322"/>
      <c r="BG984" s="322"/>
      <c r="BH984" s="322"/>
      <c r="BI984" s="322"/>
      <c r="BJ984" s="322"/>
      <c r="BK984" s="322"/>
      <c r="BL984" s="322"/>
      <c r="BM984" s="322"/>
      <c r="BN984" s="322"/>
      <c r="BO984" s="322"/>
      <c r="BP984" s="322"/>
      <c r="BQ984" s="322"/>
      <c r="BR984" s="322"/>
      <c r="BS984" s="322"/>
      <c r="BT984" s="322"/>
      <c r="BU984" s="322"/>
      <c r="BV984" s="322"/>
      <c r="BW984" s="322"/>
      <c r="BX984" s="322"/>
      <c r="BY984" s="322"/>
      <c r="BZ984" s="322"/>
      <c r="CA984" s="322"/>
      <c r="CB984" s="322"/>
      <c r="CC984" s="322"/>
      <c r="CD984" s="322"/>
      <c r="CE984" s="322"/>
      <c r="CF984" s="322"/>
      <c r="CG984" s="322"/>
      <c r="CH984" s="322"/>
      <c r="CI984" s="322"/>
      <c r="CJ984" s="322"/>
      <c r="CK984" s="322"/>
      <c r="CL984" s="322"/>
      <c r="CM984" s="322"/>
      <c r="CN984" s="322"/>
      <c r="CO984" s="322"/>
      <c r="CP984" s="322"/>
      <c r="CQ984" s="322"/>
      <c r="CR984" s="322"/>
      <c r="CS984" s="322"/>
      <c r="CT984" s="322"/>
      <c r="CU984" s="322"/>
      <c r="CV984" s="322"/>
      <c r="CW984" s="322"/>
      <c r="CX984" s="322"/>
      <c r="CY984" s="322"/>
      <c r="CZ984" s="322"/>
      <c r="DA984" s="322"/>
      <c r="DB984" s="322"/>
      <c r="DC984" s="322"/>
      <c r="DD984" s="322"/>
      <c r="DE984" s="322"/>
      <c r="DF984" s="322"/>
      <c r="DG984" s="322"/>
      <c r="DH984" s="322"/>
      <c r="DI984" s="322"/>
      <c r="DJ984" s="322"/>
      <c r="DK984" s="322"/>
      <c r="DL984" s="322"/>
      <c r="DM984" s="322"/>
      <c r="DN984" s="322"/>
      <c r="DO984" s="322"/>
      <c r="DP984" s="322"/>
      <c r="DQ984" s="322"/>
      <c r="DR984" s="322"/>
      <c r="DS984" s="322"/>
      <c r="DT984" s="322"/>
      <c r="DU984" s="322"/>
      <c r="DV984" s="322"/>
      <c r="DW984" s="322"/>
      <c r="DX984" s="322"/>
      <c r="DY984" s="322"/>
      <c r="DZ984" s="322"/>
      <c r="EA984" s="322"/>
      <c r="EB984" s="322"/>
      <c r="EC984" s="322"/>
      <c r="ED984" s="322"/>
      <c r="EE984" s="322"/>
      <c r="EF984" s="322"/>
      <c r="EG984" s="322"/>
      <c r="EH984" s="322"/>
      <c r="EI984" s="322"/>
      <c r="EJ984" s="322"/>
      <c r="EK984" s="322"/>
      <c r="EL984" s="322"/>
      <c r="EM984" s="322"/>
      <c r="EN984" s="322"/>
      <c r="EO984" s="322"/>
      <c r="EP984" s="322"/>
      <c r="EQ984" s="322"/>
      <c r="ER984" s="322"/>
      <c r="ES984" s="322"/>
      <c r="ET984" s="322"/>
      <c r="EU984" s="322"/>
      <c r="EV984" s="322"/>
      <c r="EW984" s="322"/>
      <c r="EX984" s="322"/>
      <c r="EY984" s="322"/>
      <c r="EZ984" s="322"/>
      <c r="FA984" s="322"/>
      <c r="FB984" s="322"/>
      <c r="FC984" s="322"/>
      <c r="FD984" s="322"/>
      <c r="FE984" s="322"/>
      <c r="FF984" s="322"/>
      <c r="FG984" s="322"/>
      <c r="FH984" s="322"/>
      <c r="FI984" s="322"/>
      <c r="FJ984" s="322"/>
      <c r="FK984" s="322"/>
      <c r="FL984" s="322"/>
      <c r="FM984" s="322"/>
      <c r="FN984" s="322"/>
      <c r="FO984" s="322"/>
      <c r="FP984" s="322"/>
      <c r="FQ984" s="322"/>
      <c r="FR984" s="322"/>
      <c r="FS984" s="322"/>
      <c r="FT984" s="322"/>
      <c r="FU984" s="322"/>
      <c r="FV984" s="322"/>
      <c r="FW984" s="322"/>
      <c r="FX984" s="322"/>
      <c r="FY984" s="322"/>
      <c r="FZ984" s="322"/>
      <c r="GA984" s="322"/>
      <c r="GB984" s="322"/>
      <c r="GC984" s="322"/>
      <c r="GD984" s="322"/>
      <c r="GE984" s="322"/>
      <c r="GF984" s="322"/>
      <c r="GG984" s="322"/>
      <c r="GH984" s="322"/>
      <c r="GI984" s="322"/>
      <c r="GJ984" s="322"/>
      <c r="GK984" s="322"/>
      <c r="GL984" s="322"/>
      <c r="GM984" s="322"/>
      <c r="GN984" s="322"/>
      <c r="GO984" s="322"/>
      <c r="GP984" s="322"/>
      <c r="GQ984" s="322"/>
      <c r="GR984" s="322"/>
      <c r="GS984" s="322"/>
      <c r="GT984" s="322"/>
      <c r="GU984" s="322"/>
      <c r="GV984" s="322"/>
      <c r="GW984" s="322"/>
      <c r="GX984" s="322"/>
      <c r="GY984" s="322"/>
      <c r="GZ984" s="322"/>
      <c r="HA984" s="322"/>
      <c r="HB984" s="322"/>
      <c r="HC984" s="322"/>
      <c r="HD984" s="322"/>
      <c r="HE984" s="322"/>
      <c r="HF984" s="322"/>
      <c r="HG984" s="322"/>
      <c r="HH984" s="322"/>
      <c r="HI984" s="322"/>
      <c r="HJ984" s="322"/>
      <c r="HK984" s="322"/>
      <c r="HL984" s="322"/>
      <c r="HM984" s="322"/>
      <c r="HN984" s="322"/>
      <c r="HO984" s="322"/>
      <c r="HP984" s="322"/>
      <c r="HQ984" s="322"/>
      <c r="HR984" s="322"/>
      <c r="HS984" s="322"/>
      <c r="HT984" s="322"/>
      <c r="HU984" s="322"/>
      <c r="HV984" s="322"/>
      <c r="HW984" s="322"/>
      <c r="HX984" s="322"/>
      <c r="HY984" s="322"/>
      <c r="HZ984" s="322"/>
      <c r="IA984" s="322"/>
      <c r="IB984" s="322"/>
      <c r="IC984" s="322"/>
      <c r="ID984" s="322"/>
      <c r="IE984" s="322"/>
      <c r="IF984" s="322"/>
      <c r="IG984" s="322"/>
      <c r="IH984" s="322"/>
      <c r="II984" s="322"/>
      <c r="IJ984" s="322"/>
      <c r="IK984" s="322"/>
      <c r="IL984" s="322"/>
      <c r="IM984" s="322"/>
      <c r="IN984" s="322"/>
      <c r="IO984" s="322"/>
      <c r="IP984" s="322"/>
      <c r="IQ984" s="322"/>
      <c r="IR984" s="322"/>
      <c r="IS984" s="322"/>
      <c r="IT984" s="322"/>
      <c r="IU984" s="322"/>
      <c r="IV984" s="322"/>
      <c r="IW984" s="322"/>
      <c r="IX984" s="322"/>
      <c r="IY984" s="322"/>
      <c r="IZ984" s="322"/>
      <c r="JA984" s="322"/>
      <c r="JB984" s="322"/>
      <c r="JC984" s="322"/>
    </row>
    <row r="985" spans="1:263" ht="45" customHeight="1" x14ac:dyDescent="0.4">
      <c r="A985" s="323">
        <v>895200</v>
      </c>
      <c r="B985" s="324" t="s">
        <v>5291</v>
      </c>
      <c r="C985" s="325" t="s">
        <v>3556</v>
      </c>
      <c r="D985" s="326" t="s">
        <v>2045</v>
      </c>
      <c r="E985" s="327" t="s">
        <v>5292</v>
      </c>
      <c r="F985" s="327"/>
      <c r="G985" s="327" t="s">
        <v>383</v>
      </c>
      <c r="H985" s="325" t="e">
        <v>#N/A</v>
      </c>
      <c r="I985" s="325" t="e">
        <v>#N/A</v>
      </c>
      <c r="J985" s="328">
        <v>89</v>
      </c>
      <c r="K985" s="329">
        <v>8951</v>
      </c>
      <c r="L985" s="325" t="s">
        <v>3538</v>
      </c>
      <c r="M985" s="326" t="s">
        <v>2101</v>
      </c>
      <c r="N985" s="326"/>
      <c r="O985" s="330">
        <v>2.15</v>
      </c>
      <c r="P985" s="330">
        <v>0.02</v>
      </c>
      <c r="Q985" s="331">
        <v>8951</v>
      </c>
      <c r="R985" s="330">
        <v>10000000</v>
      </c>
      <c r="S985" s="330">
        <v>410000</v>
      </c>
      <c r="T985" s="326" t="s">
        <v>170</v>
      </c>
      <c r="U985" s="326" t="s">
        <v>2040</v>
      </c>
      <c r="V985" s="332"/>
      <c r="W985" s="333">
        <v>89520</v>
      </c>
      <c r="X985" s="322"/>
      <c r="Y985" s="322"/>
      <c r="Z985" s="322"/>
      <c r="AA985" s="322"/>
      <c r="AB985" s="322"/>
      <c r="AC985" s="322"/>
      <c r="AD985" s="322"/>
      <c r="AE985" s="322"/>
      <c r="AF985" s="322"/>
      <c r="AG985" s="322"/>
      <c r="AH985" s="322"/>
      <c r="AI985" s="322"/>
      <c r="AJ985" s="322"/>
      <c r="AK985" s="322"/>
      <c r="AL985" s="322"/>
      <c r="AM985" s="322"/>
      <c r="AN985" s="322"/>
      <c r="AO985" s="322"/>
      <c r="AP985" s="322"/>
      <c r="AQ985" s="322"/>
      <c r="AR985" s="322"/>
      <c r="AS985" s="322"/>
      <c r="AT985" s="322"/>
      <c r="AU985" s="322"/>
      <c r="AV985" s="322"/>
      <c r="AW985" s="322"/>
      <c r="AX985" s="322"/>
      <c r="AY985" s="322"/>
      <c r="AZ985" s="322"/>
      <c r="BA985" s="322"/>
      <c r="BB985" s="322"/>
      <c r="BC985" s="322"/>
      <c r="BD985" s="322"/>
      <c r="BE985" s="322"/>
      <c r="BF985" s="322"/>
      <c r="BG985" s="322"/>
      <c r="BH985" s="322"/>
      <c r="BI985" s="322"/>
      <c r="BJ985" s="322"/>
      <c r="BK985" s="322"/>
      <c r="BL985" s="322"/>
      <c r="BM985" s="322"/>
      <c r="BN985" s="322"/>
      <c r="BO985" s="322"/>
      <c r="BP985" s="322"/>
      <c r="BQ985" s="322"/>
      <c r="BR985" s="322"/>
      <c r="BS985" s="322"/>
      <c r="BT985" s="322"/>
      <c r="BU985" s="322"/>
      <c r="BV985" s="322"/>
      <c r="BW985" s="322"/>
      <c r="BX985" s="322"/>
      <c r="BY985" s="322"/>
      <c r="BZ985" s="322"/>
      <c r="CA985" s="322"/>
      <c r="CB985" s="322"/>
      <c r="CC985" s="322"/>
      <c r="CD985" s="322"/>
      <c r="CE985" s="322"/>
      <c r="CF985" s="322"/>
      <c r="CG985" s="322"/>
      <c r="CH985" s="322"/>
      <c r="CI985" s="322"/>
      <c r="CJ985" s="322"/>
      <c r="CK985" s="322"/>
      <c r="CL985" s="322"/>
      <c r="CM985" s="322"/>
      <c r="CN985" s="322"/>
      <c r="CO985" s="322"/>
      <c r="CP985" s="322"/>
      <c r="CQ985" s="322"/>
      <c r="CR985" s="322"/>
      <c r="CS985" s="322"/>
      <c r="CT985" s="322"/>
      <c r="CU985" s="322"/>
      <c r="CV985" s="322"/>
      <c r="CW985" s="322"/>
      <c r="CX985" s="322"/>
      <c r="CY985" s="322"/>
      <c r="CZ985" s="322"/>
      <c r="DA985" s="322"/>
      <c r="DB985" s="322"/>
      <c r="DC985" s="322"/>
      <c r="DD985" s="322"/>
      <c r="DE985" s="322"/>
      <c r="DF985" s="322"/>
      <c r="DG985" s="322"/>
      <c r="DH985" s="322"/>
      <c r="DI985" s="322"/>
      <c r="DJ985" s="322"/>
      <c r="DK985" s="322"/>
      <c r="DL985" s="322"/>
      <c r="DM985" s="322"/>
      <c r="DN985" s="322"/>
      <c r="DO985" s="322"/>
      <c r="DP985" s="322"/>
      <c r="DQ985" s="322"/>
      <c r="DR985" s="322"/>
      <c r="DS985" s="322"/>
      <c r="DT985" s="322"/>
      <c r="DU985" s="322"/>
      <c r="DV985" s="322"/>
      <c r="DW985" s="322"/>
      <c r="DX985" s="322"/>
      <c r="DY985" s="322"/>
      <c r="DZ985" s="322"/>
      <c r="EA985" s="322"/>
      <c r="EB985" s="322"/>
      <c r="EC985" s="322"/>
      <c r="ED985" s="322"/>
      <c r="EE985" s="322"/>
      <c r="EF985" s="322"/>
      <c r="EG985" s="322"/>
      <c r="EH985" s="322"/>
      <c r="EI985" s="322"/>
      <c r="EJ985" s="322"/>
      <c r="EK985" s="322"/>
      <c r="EL985" s="322"/>
      <c r="EM985" s="322"/>
      <c r="EN985" s="322"/>
      <c r="EO985" s="322"/>
      <c r="EP985" s="322"/>
      <c r="EQ985" s="322"/>
      <c r="ER985" s="322"/>
      <c r="ES985" s="322"/>
      <c r="ET985" s="322"/>
      <c r="EU985" s="322"/>
      <c r="EV985" s="322"/>
      <c r="EW985" s="322"/>
      <c r="EX985" s="322"/>
      <c r="EY985" s="322"/>
      <c r="EZ985" s="322"/>
      <c r="FA985" s="322"/>
      <c r="FB985" s="322"/>
      <c r="FC985" s="322"/>
      <c r="FD985" s="322"/>
      <c r="FE985" s="322"/>
      <c r="FF985" s="322"/>
      <c r="FG985" s="322"/>
      <c r="FH985" s="322"/>
      <c r="FI985" s="322"/>
      <c r="FJ985" s="322"/>
      <c r="FK985" s="322"/>
      <c r="FL985" s="322"/>
      <c r="FM985" s="322"/>
      <c r="FN985" s="322"/>
      <c r="FO985" s="322"/>
      <c r="FP985" s="322"/>
      <c r="FQ985" s="322"/>
      <c r="FR985" s="322"/>
      <c r="FS985" s="322"/>
      <c r="FT985" s="322"/>
      <c r="FU985" s="322"/>
      <c r="FV985" s="322"/>
      <c r="FW985" s="322"/>
      <c r="FX985" s="322"/>
      <c r="FY985" s="322"/>
      <c r="FZ985" s="322"/>
      <c r="GA985" s="322"/>
      <c r="GB985" s="322"/>
      <c r="GC985" s="322"/>
      <c r="GD985" s="322"/>
      <c r="GE985" s="322"/>
      <c r="GF985" s="322"/>
      <c r="GG985" s="322"/>
      <c r="GH985" s="322"/>
      <c r="GI985" s="322"/>
      <c r="GJ985" s="322"/>
      <c r="GK985" s="322"/>
      <c r="GL985" s="322"/>
      <c r="GM985" s="322"/>
      <c r="GN985" s="322"/>
      <c r="GO985" s="322"/>
      <c r="GP985" s="322"/>
      <c r="GQ985" s="322"/>
      <c r="GR985" s="322"/>
      <c r="GS985" s="322"/>
      <c r="GT985" s="322"/>
      <c r="GU985" s="322"/>
      <c r="GV985" s="322"/>
      <c r="GW985" s="322"/>
      <c r="GX985" s="322"/>
      <c r="GY985" s="322"/>
      <c r="GZ985" s="322"/>
      <c r="HA985" s="322"/>
      <c r="HB985" s="322"/>
      <c r="HC985" s="322"/>
      <c r="HD985" s="322"/>
      <c r="HE985" s="322"/>
      <c r="HF985" s="322"/>
      <c r="HG985" s="322"/>
      <c r="HH985" s="322"/>
      <c r="HI985" s="322"/>
      <c r="HJ985" s="322"/>
      <c r="HK985" s="322"/>
      <c r="HL985" s="322"/>
      <c r="HM985" s="322"/>
      <c r="HN985" s="322"/>
      <c r="HO985" s="322"/>
      <c r="HP985" s="322"/>
      <c r="HQ985" s="322"/>
      <c r="HR985" s="322"/>
      <c r="HS985" s="322"/>
      <c r="HT985" s="322"/>
      <c r="HU985" s="322"/>
      <c r="HV985" s="322"/>
      <c r="HW985" s="322"/>
      <c r="HX985" s="322"/>
      <c r="HY985" s="322"/>
      <c r="HZ985" s="322"/>
      <c r="IA985" s="322"/>
      <c r="IB985" s="322"/>
      <c r="IC985" s="322"/>
      <c r="ID985" s="322"/>
      <c r="IE985" s="322"/>
      <c r="IF985" s="322"/>
      <c r="IG985" s="322"/>
      <c r="IH985" s="322"/>
      <c r="II985" s="322"/>
      <c r="IJ985" s="322"/>
      <c r="IK985" s="322"/>
      <c r="IL985" s="322"/>
      <c r="IM985" s="322"/>
      <c r="IN985" s="322"/>
      <c r="IO985" s="322"/>
      <c r="IP985" s="322"/>
      <c r="IQ985" s="322"/>
      <c r="IR985" s="322"/>
      <c r="IS985" s="322"/>
      <c r="IT985" s="322"/>
      <c r="IU985" s="322"/>
      <c r="IV985" s="322"/>
      <c r="IW985" s="322"/>
      <c r="IX985" s="322"/>
      <c r="IY985" s="322"/>
      <c r="IZ985" s="322"/>
      <c r="JA985" s="322"/>
      <c r="JB985" s="322"/>
      <c r="JC985" s="322"/>
    </row>
    <row r="986" spans="1:263" ht="45" customHeight="1" x14ac:dyDescent="0.4">
      <c r="A986" s="323">
        <v>911125</v>
      </c>
      <c r="B986" s="324" t="s">
        <v>5293</v>
      </c>
      <c r="C986" s="325" t="s">
        <v>3916</v>
      </c>
      <c r="D986" s="326" t="s">
        <v>3558</v>
      </c>
      <c r="E986" s="327" t="s">
        <v>1995</v>
      </c>
      <c r="F986" s="327"/>
      <c r="G986" s="327" t="s">
        <v>383</v>
      </c>
      <c r="H986" s="325" t="e">
        <v>#N/A</v>
      </c>
      <c r="I986" s="325" t="e">
        <v>#N/A</v>
      </c>
      <c r="J986" s="328">
        <v>91</v>
      </c>
      <c r="K986" s="329">
        <v>9110</v>
      </c>
      <c r="L986" s="325" t="s">
        <v>3559</v>
      </c>
      <c r="M986" s="326" t="s">
        <v>2469</v>
      </c>
      <c r="N986" s="326"/>
      <c r="O986" s="330">
        <v>0</v>
      </c>
      <c r="P986" s="330">
        <v>0</v>
      </c>
      <c r="Q986" s="331">
        <v>9110</v>
      </c>
      <c r="R986" s="330">
        <v>0</v>
      </c>
      <c r="S986" s="330">
        <v>0</v>
      </c>
      <c r="T986" s="326" t="s">
        <v>170</v>
      </c>
      <c r="U986" s="326" t="s">
        <v>2040</v>
      </c>
      <c r="V986" s="332">
        <v>91120</v>
      </c>
      <c r="W986" s="333">
        <v>91120</v>
      </c>
      <c r="X986" s="322"/>
      <c r="Y986" s="322"/>
      <c r="Z986" s="322"/>
      <c r="AA986" s="322"/>
      <c r="AB986" s="322"/>
      <c r="AC986" s="322"/>
      <c r="AD986" s="322"/>
      <c r="AE986" s="322"/>
      <c r="AF986" s="322"/>
      <c r="AG986" s="322"/>
      <c r="AH986" s="322"/>
      <c r="AI986" s="322"/>
      <c r="AJ986" s="322"/>
      <c r="AK986" s="322"/>
      <c r="AL986" s="322"/>
      <c r="AM986" s="322"/>
      <c r="AN986" s="322"/>
      <c r="AO986" s="322"/>
      <c r="AP986" s="322"/>
      <c r="AQ986" s="322"/>
      <c r="AR986" s="322"/>
      <c r="AS986" s="322"/>
      <c r="AT986" s="322"/>
      <c r="AU986" s="322"/>
      <c r="AV986" s="322"/>
      <c r="AW986" s="322"/>
      <c r="AX986" s="322"/>
      <c r="AY986" s="322"/>
      <c r="AZ986" s="322"/>
      <c r="BA986" s="322"/>
      <c r="BB986" s="322"/>
      <c r="BC986" s="322"/>
      <c r="BD986" s="322"/>
      <c r="BE986" s="322"/>
      <c r="BF986" s="322"/>
      <c r="BG986" s="322"/>
      <c r="BH986" s="322"/>
      <c r="BI986" s="322"/>
      <c r="BJ986" s="322"/>
      <c r="BK986" s="322"/>
      <c r="BL986" s="322"/>
      <c r="BM986" s="322"/>
      <c r="BN986" s="322"/>
      <c r="BO986" s="322"/>
      <c r="BP986" s="322"/>
      <c r="BQ986" s="322"/>
      <c r="BR986" s="322"/>
      <c r="BS986" s="322"/>
      <c r="BT986" s="322"/>
      <c r="BU986" s="322"/>
      <c r="BV986" s="322"/>
      <c r="BW986" s="322"/>
      <c r="BX986" s="322"/>
      <c r="BY986" s="322"/>
      <c r="BZ986" s="322"/>
      <c r="CA986" s="322"/>
      <c r="CB986" s="322"/>
      <c r="CC986" s="322"/>
      <c r="CD986" s="322"/>
      <c r="CE986" s="322"/>
      <c r="CF986" s="322"/>
      <c r="CG986" s="322"/>
      <c r="CH986" s="322"/>
      <c r="CI986" s="322"/>
      <c r="CJ986" s="322"/>
      <c r="CK986" s="322"/>
      <c r="CL986" s="322"/>
      <c r="CM986" s="322"/>
      <c r="CN986" s="322"/>
      <c r="CO986" s="322"/>
      <c r="CP986" s="322"/>
      <c r="CQ986" s="322"/>
      <c r="CR986" s="322"/>
      <c r="CS986" s="322"/>
      <c r="CT986" s="322"/>
      <c r="CU986" s="322"/>
      <c r="CV986" s="322"/>
      <c r="CW986" s="322"/>
      <c r="CX986" s="322"/>
      <c r="CY986" s="322"/>
      <c r="CZ986" s="322"/>
      <c r="DA986" s="322"/>
      <c r="DB986" s="322"/>
      <c r="DC986" s="322"/>
      <c r="DD986" s="322"/>
      <c r="DE986" s="322"/>
      <c r="DF986" s="322"/>
      <c r="DG986" s="322"/>
      <c r="DH986" s="322"/>
      <c r="DI986" s="322"/>
      <c r="DJ986" s="322"/>
      <c r="DK986" s="322"/>
      <c r="DL986" s="322"/>
      <c r="DM986" s="322"/>
      <c r="DN986" s="322"/>
      <c r="DO986" s="322"/>
      <c r="DP986" s="322"/>
      <c r="DQ986" s="322"/>
      <c r="DR986" s="322"/>
      <c r="DS986" s="322"/>
      <c r="DT986" s="322"/>
      <c r="DU986" s="322"/>
      <c r="DV986" s="322"/>
      <c r="DW986" s="322"/>
      <c r="DX986" s="322"/>
      <c r="DY986" s="322"/>
      <c r="DZ986" s="322"/>
      <c r="EA986" s="322"/>
      <c r="EB986" s="322"/>
      <c r="EC986" s="322"/>
      <c r="ED986" s="322"/>
      <c r="EE986" s="322"/>
      <c r="EF986" s="322"/>
      <c r="EG986" s="322"/>
      <c r="EH986" s="322"/>
      <c r="EI986" s="322"/>
      <c r="EJ986" s="322"/>
      <c r="EK986" s="322"/>
      <c r="EL986" s="322"/>
      <c r="EM986" s="322"/>
      <c r="EN986" s="322"/>
      <c r="EO986" s="322"/>
      <c r="EP986" s="322"/>
      <c r="EQ986" s="322"/>
      <c r="ER986" s="322"/>
      <c r="ES986" s="322"/>
      <c r="ET986" s="322"/>
      <c r="EU986" s="322"/>
      <c r="EV986" s="322"/>
      <c r="EW986" s="322"/>
      <c r="EX986" s="322"/>
      <c r="EY986" s="322"/>
      <c r="EZ986" s="322"/>
      <c r="FA986" s="322"/>
      <c r="FB986" s="322"/>
      <c r="FC986" s="322"/>
      <c r="FD986" s="322"/>
      <c r="FE986" s="322"/>
      <c r="FF986" s="322"/>
      <c r="FG986" s="322"/>
      <c r="FH986" s="322"/>
      <c r="FI986" s="322"/>
      <c r="FJ986" s="322"/>
      <c r="FK986" s="322"/>
      <c r="FL986" s="322"/>
      <c r="FM986" s="322"/>
      <c r="FN986" s="322"/>
      <c r="FO986" s="322"/>
      <c r="FP986" s="322"/>
      <c r="FQ986" s="322"/>
      <c r="FR986" s="322"/>
      <c r="FS986" s="322"/>
      <c r="FT986" s="322"/>
      <c r="FU986" s="322"/>
      <c r="FV986" s="322"/>
      <c r="FW986" s="322"/>
      <c r="FX986" s="322"/>
      <c r="FY986" s="322"/>
      <c r="FZ986" s="322"/>
      <c r="GA986" s="322"/>
      <c r="GB986" s="322"/>
      <c r="GC986" s="322"/>
      <c r="GD986" s="322"/>
      <c r="GE986" s="322"/>
      <c r="GF986" s="322"/>
      <c r="GG986" s="322"/>
      <c r="GH986" s="322"/>
      <c r="GI986" s="322"/>
      <c r="GJ986" s="322"/>
      <c r="GK986" s="322"/>
      <c r="GL986" s="322"/>
      <c r="GM986" s="322"/>
      <c r="GN986" s="322"/>
      <c r="GO986" s="322"/>
      <c r="GP986" s="322"/>
      <c r="GQ986" s="322"/>
      <c r="GR986" s="322"/>
      <c r="GS986" s="322"/>
      <c r="GT986" s="322"/>
      <c r="GU986" s="322"/>
      <c r="GV986" s="322"/>
      <c r="GW986" s="322"/>
      <c r="GX986" s="322"/>
      <c r="GY986" s="322"/>
      <c r="GZ986" s="322"/>
      <c r="HA986" s="322"/>
      <c r="HB986" s="322"/>
      <c r="HC986" s="322"/>
      <c r="HD986" s="322"/>
      <c r="HE986" s="322"/>
      <c r="HF986" s="322"/>
      <c r="HG986" s="322"/>
      <c r="HH986" s="322"/>
      <c r="HI986" s="322"/>
      <c r="HJ986" s="322"/>
      <c r="HK986" s="322"/>
      <c r="HL986" s="322"/>
      <c r="HM986" s="322"/>
      <c r="HN986" s="322"/>
      <c r="HO986" s="322"/>
      <c r="HP986" s="322"/>
      <c r="HQ986" s="322"/>
      <c r="HR986" s="322"/>
      <c r="HS986" s="322"/>
      <c r="HT986" s="322"/>
      <c r="HU986" s="322"/>
      <c r="HV986" s="322"/>
      <c r="HW986" s="322"/>
      <c r="HX986" s="322"/>
      <c r="HY986" s="322"/>
      <c r="HZ986" s="322"/>
      <c r="IA986" s="322"/>
      <c r="IB986" s="322"/>
      <c r="IC986" s="322"/>
      <c r="ID986" s="322"/>
      <c r="IE986" s="322"/>
      <c r="IF986" s="322"/>
      <c r="IG986" s="322"/>
      <c r="IH986" s="322"/>
      <c r="II986" s="322"/>
      <c r="IJ986" s="322"/>
      <c r="IK986" s="322"/>
      <c r="IL986" s="322"/>
      <c r="IM986" s="322"/>
      <c r="IN986" s="322"/>
      <c r="IO986" s="322"/>
      <c r="IP986" s="322"/>
      <c r="IQ986" s="322"/>
      <c r="IR986" s="322"/>
      <c r="IS986" s="322"/>
      <c r="IT986" s="322"/>
      <c r="IU986" s="322"/>
      <c r="IV986" s="322"/>
      <c r="IW986" s="322"/>
      <c r="IX986" s="322"/>
      <c r="IY986" s="322"/>
      <c r="IZ986" s="322"/>
      <c r="JA986" s="322"/>
      <c r="JB986" s="322"/>
      <c r="JC986" s="322"/>
    </row>
    <row r="987" spans="1:263" ht="45" customHeight="1" x14ac:dyDescent="0.4">
      <c r="A987" s="323">
        <v>911127</v>
      </c>
      <c r="B987" s="324" t="s">
        <v>5294</v>
      </c>
      <c r="C987" s="325" t="s">
        <v>3557</v>
      </c>
      <c r="D987" s="326" t="s">
        <v>3558</v>
      </c>
      <c r="E987" s="327" t="s">
        <v>1996</v>
      </c>
      <c r="F987" s="327"/>
      <c r="G987" s="327" t="s">
        <v>383</v>
      </c>
      <c r="H987" s="325" t="e">
        <v>#N/A</v>
      </c>
      <c r="I987" s="325" t="e">
        <v>#N/A</v>
      </c>
      <c r="J987" s="328">
        <v>91</v>
      </c>
      <c r="K987" s="329">
        <v>9110</v>
      </c>
      <c r="L987" s="325" t="s">
        <v>3559</v>
      </c>
      <c r="M987" s="326" t="s">
        <v>2469</v>
      </c>
      <c r="N987" s="326"/>
      <c r="O987" s="330">
        <v>0</v>
      </c>
      <c r="P987" s="330">
        <v>0</v>
      </c>
      <c r="Q987" s="331">
        <v>9110</v>
      </c>
      <c r="R987" s="330">
        <v>0</v>
      </c>
      <c r="S987" s="330">
        <v>0</v>
      </c>
      <c r="T987" s="326" t="s">
        <v>170</v>
      </c>
      <c r="U987" s="326" t="s">
        <v>2040</v>
      </c>
      <c r="V987" s="332">
        <v>91120</v>
      </c>
      <c r="W987" s="333">
        <v>91120</v>
      </c>
      <c r="X987" s="322"/>
      <c r="Y987" s="322"/>
      <c r="Z987" s="322"/>
      <c r="AA987" s="322"/>
      <c r="AB987" s="322"/>
      <c r="AC987" s="322"/>
      <c r="AD987" s="322"/>
      <c r="AE987" s="322"/>
      <c r="AF987" s="322"/>
      <c r="AG987" s="322"/>
      <c r="AH987" s="322"/>
      <c r="AI987" s="322"/>
      <c r="AJ987" s="322"/>
      <c r="AK987" s="322"/>
      <c r="AL987" s="322"/>
      <c r="AM987" s="322"/>
      <c r="AN987" s="322"/>
      <c r="AO987" s="322"/>
      <c r="AP987" s="322"/>
      <c r="AQ987" s="322"/>
      <c r="AR987" s="322"/>
      <c r="AS987" s="322"/>
      <c r="AT987" s="322"/>
      <c r="AU987" s="322"/>
      <c r="AV987" s="322"/>
      <c r="AW987" s="322"/>
      <c r="AX987" s="322"/>
      <c r="AY987" s="322"/>
      <c r="AZ987" s="322"/>
      <c r="BA987" s="322"/>
      <c r="BB987" s="322"/>
      <c r="BC987" s="322"/>
      <c r="BD987" s="322"/>
      <c r="BE987" s="322"/>
      <c r="BF987" s="322"/>
      <c r="BG987" s="322"/>
      <c r="BH987" s="322"/>
      <c r="BI987" s="322"/>
      <c r="BJ987" s="322"/>
      <c r="BK987" s="322"/>
      <c r="BL987" s="322"/>
      <c r="BM987" s="322"/>
      <c r="BN987" s="322"/>
      <c r="BO987" s="322"/>
      <c r="BP987" s="322"/>
      <c r="BQ987" s="322"/>
      <c r="BR987" s="322"/>
      <c r="BS987" s="322"/>
      <c r="BT987" s="322"/>
      <c r="BU987" s="322"/>
      <c r="BV987" s="322"/>
      <c r="BW987" s="322"/>
      <c r="BX987" s="322"/>
      <c r="BY987" s="322"/>
      <c r="BZ987" s="322"/>
      <c r="CA987" s="322"/>
      <c r="CB987" s="322"/>
      <c r="CC987" s="322"/>
      <c r="CD987" s="322"/>
      <c r="CE987" s="322"/>
      <c r="CF987" s="322"/>
      <c r="CG987" s="322"/>
      <c r="CH987" s="322"/>
      <c r="CI987" s="322"/>
      <c r="CJ987" s="322"/>
      <c r="CK987" s="322"/>
      <c r="CL987" s="322"/>
      <c r="CM987" s="322"/>
      <c r="CN987" s="322"/>
      <c r="CO987" s="322"/>
      <c r="CP987" s="322"/>
      <c r="CQ987" s="322"/>
      <c r="CR987" s="322"/>
      <c r="CS987" s="322"/>
      <c r="CT987" s="322"/>
      <c r="CU987" s="322"/>
      <c r="CV987" s="322"/>
      <c r="CW987" s="322"/>
      <c r="CX987" s="322"/>
      <c r="CY987" s="322"/>
      <c r="CZ987" s="322"/>
      <c r="DA987" s="322"/>
      <c r="DB987" s="322"/>
      <c r="DC987" s="322"/>
      <c r="DD987" s="322"/>
      <c r="DE987" s="322"/>
      <c r="DF987" s="322"/>
      <c r="DG987" s="322"/>
      <c r="DH987" s="322"/>
      <c r="DI987" s="322"/>
      <c r="DJ987" s="322"/>
      <c r="DK987" s="322"/>
      <c r="DL987" s="322"/>
      <c r="DM987" s="322"/>
      <c r="DN987" s="322"/>
      <c r="DO987" s="322"/>
      <c r="DP987" s="322"/>
      <c r="DQ987" s="322"/>
      <c r="DR987" s="322"/>
      <c r="DS987" s="322"/>
      <c r="DT987" s="322"/>
      <c r="DU987" s="322"/>
      <c r="DV987" s="322"/>
      <c r="DW987" s="322"/>
      <c r="DX987" s="322"/>
      <c r="DY987" s="322"/>
      <c r="DZ987" s="322"/>
      <c r="EA987" s="322"/>
      <c r="EB987" s="322"/>
      <c r="EC987" s="322"/>
      <c r="ED987" s="322"/>
      <c r="EE987" s="322"/>
      <c r="EF987" s="322"/>
      <c r="EG987" s="322"/>
      <c r="EH987" s="322"/>
      <c r="EI987" s="322"/>
      <c r="EJ987" s="322"/>
      <c r="EK987" s="322"/>
      <c r="EL987" s="322"/>
      <c r="EM987" s="322"/>
      <c r="EN987" s="322"/>
      <c r="EO987" s="322"/>
      <c r="EP987" s="322"/>
      <c r="EQ987" s="322"/>
      <c r="ER987" s="322"/>
      <c r="ES987" s="322"/>
      <c r="ET987" s="322"/>
      <c r="EU987" s="322"/>
      <c r="EV987" s="322"/>
      <c r="EW987" s="322"/>
      <c r="EX987" s="322"/>
      <c r="EY987" s="322"/>
      <c r="EZ987" s="322"/>
      <c r="FA987" s="322"/>
      <c r="FB987" s="322"/>
      <c r="FC987" s="322"/>
      <c r="FD987" s="322"/>
      <c r="FE987" s="322"/>
      <c r="FF987" s="322"/>
      <c r="FG987" s="322"/>
      <c r="FH987" s="322"/>
      <c r="FI987" s="322"/>
      <c r="FJ987" s="322"/>
      <c r="FK987" s="322"/>
      <c r="FL987" s="322"/>
      <c r="FM987" s="322"/>
      <c r="FN987" s="322"/>
      <c r="FO987" s="322"/>
      <c r="FP987" s="322"/>
      <c r="FQ987" s="322"/>
      <c r="FR987" s="322"/>
      <c r="FS987" s="322"/>
      <c r="FT987" s="322"/>
      <c r="FU987" s="322"/>
      <c r="FV987" s="322"/>
      <c r="FW987" s="322"/>
      <c r="FX987" s="322"/>
      <c r="FY987" s="322"/>
      <c r="FZ987" s="322"/>
      <c r="GA987" s="322"/>
      <c r="GB987" s="322"/>
      <c r="GC987" s="322"/>
      <c r="GD987" s="322"/>
      <c r="GE987" s="322"/>
      <c r="GF987" s="322"/>
      <c r="GG987" s="322"/>
      <c r="GH987" s="322"/>
      <c r="GI987" s="322"/>
      <c r="GJ987" s="322"/>
      <c r="GK987" s="322"/>
      <c r="GL987" s="322"/>
      <c r="GM987" s="322"/>
      <c r="GN987" s="322"/>
      <c r="GO987" s="322"/>
      <c r="GP987" s="322"/>
      <c r="GQ987" s="322"/>
      <c r="GR987" s="322"/>
      <c r="GS987" s="322"/>
      <c r="GT987" s="322"/>
      <c r="GU987" s="322"/>
      <c r="GV987" s="322"/>
      <c r="GW987" s="322"/>
      <c r="GX987" s="322"/>
      <c r="GY987" s="322"/>
      <c r="GZ987" s="322"/>
      <c r="HA987" s="322"/>
      <c r="HB987" s="322"/>
      <c r="HC987" s="322"/>
      <c r="HD987" s="322"/>
      <c r="HE987" s="322"/>
      <c r="HF987" s="322"/>
      <c r="HG987" s="322"/>
      <c r="HH987" s="322"/>
      <c r="HI987" s="322"/>
      <c r="HJ987" s="322"/>
      <c r="HK987" s="322"/>
      <c r="HL987" s="322"/>
      <c r="HM987" s="322"/>
      <c r="HN987" s="322"/>
      <c r="HO987" s="322"/>
      <c r="HP987" s="322"/>
      <c r="HQ987" s="322"/>
      <c r="HR987" s="322"/>
      <c r="HS987" s="322"/>
      <c r="HT987" s="322"/>
      <c r="HU987" s="322"/>
      <c r="HV987" s="322"/>
      <c r="HW987" s="322"/>
      <c r="HX987" s="322"/>
      <c r="HY987" s="322"/>
      <c r="HZ987" s="322"/>
      <c r="IA987" s="322"/>
      <c r="IB987" s="322"/>
      <c r="IC987" s="322"/>
      <c r="ID987" s="322"/>
      <c r="IE987" s="322"/>
      <c r="IF987" s="322"/>
      <c r="IG987" s="322"/>
      <c r="IH987" s="322"/>
      <c r="II987" s="322"/>
      <c r="IJ987" s="322"/>
      <c r="IK987" s="322"/>
      <c r="IL987" s="322"/>
      <c r="IM987" s="322"/>
      <c r="IN987" s="322"/>
      <c r="IO987" s="322"/>
      <c r="IP987" s="322"/>
      <c r="IQ987" s="322"/>
      <c r="IR987" s="322"/>
      <c r="IS987" s="322"/>
      <c r="IT987" s="322"/>
      <c r="IU987" s="322"/>
      <c r="IV987" s="322"/>
      <c r="IW987" s="322"/>
      <c r="IX987" s="322"/>
      <c r="IY987" s="322"/>
      <c r="IZ987" s="322"/>
      <c r="JA987" s="322"/>
      <c r="JB987" s="322"/>
      <c r="JC987" s="322"/>
    </row>
    <row r="988" spans="1:263" ht="45" customHeight="1" x14ac:dyDescent="0.4">
      <c r="A988" s="323">
        <v>911142</v>
      </c>
      <c r="B988" s="324" t="s">
        <v>5295</v>
      </c>
      <c r="C988" s="325" t="s">
        <v>3560</v>
      </c>
      <c r="D988" s="326" t="s">
        <v>3558</v>
      </c>
      <c r="E988" s="327" t="s">
        <v>1997</v>
      </c>
      <c r="F988" s="327"/>
      <c r="G988" s="327" t="s">
        <v>383</v>
      </c>
      <c r="H988" s="325" t="e">
        <v>#N/A</v>
      </c>
      <c r="I988" s="325" t="e">
        <v>#N/A</v>
      </c>
      <c r="J988" s="328">
        <v>91</v>
      </c>
      <c r="K988" s="329">
        <v>9110</v>
      </c>
      <c r="L988" s="325" t="s">
        <v>3559</v>
      </c>
      <c r="M988" s="326" t="s">
        <v>2469</v>
      </c>
      <c r="N988" s="326"/>
      <c r="O988" s="330">
        <v>0</v>
      </c>
      <c r="P988" s="330">
        <v>0</v>
      </c>
      <c r="Q988" s="331">
        <v>9110</v>
      </c>
      <c r="R988" s="330">
        <v>0</v>
      </c>
      <c r="S988" s="330">
        <v>0</v>
      </c>
      <c r="T988" s="326" t="s">
        <v>170</v>
      </c>
      <c r="U988" s="326" t="s">
        <v>2040</v>
      </c>
      <c r="V988" s="332">
        <v>91110</v>
      </c>
      <c r="W988" s="333">
        <v>91140</v>
      </c>
      <c r="X988" s="322"/>
      <c r="Y988" s="322"/>
      <c r="Z988" s="322"/>
      <c r="AA988" s="322"/>
      <c r="AB988" s="322"/>
      <c r="AC988" s="322"/>
      <c r="AD988" s="322"/>
      <c r="AE988" s="322"/>
      <c r="AF988" s="322"/>
      <c r="AG988" s="322"/>
      <c r="AH988" s="322"/>
      <c r="AI988" s="322"/>
      <c r="AJ988" s="322"/>
      <c r="AK988" s="322"/>
      <c r="AL988" s="322"/>
      <c r="AM988" s="322"/>
      <c r="AN988" s="322"/>
      <c r="AO988" s="322"/>
      <c r="AP988" s="322"/>
      <c r="AQ988" s="322"/>
      <c r="AR988" s="322"/>
      <c r="AS988" s="322"/>
      <c r="AT988" s="322"/>
      <c r="AU988" s="322"/>
      <c r="AV988" s="322"/>
      <c r="AW988" s="322"/>
      <c r="AX988" s="322"/>
      <c r="AY988" s="322"/>
      <c r="AZ988" s="322"/>
      <c r="BA988" s="322"/>
      <c r="BB988" s="322"/>
      <c r="BC988" s="322"/>
      <c r="BD988" s="322"/>
      <c r="BE988" s="322"/>
      <c r="BF988" s="322"/>
      <c r="BG988" s="322"/>
      <c r="BH988" s="322"/>
      <c r="BI988" s="322"/>
      <c r="BJ988" s="322"/>
      <c r="BK988" s="322"/>
      <c r="BL988" s="322"/>
      <c r="BM988" s="322"/>
      <c r="BN988" s="322"/>
      <c r="BO988" s="322"/>
      <c r="BP988" s="322"/>
      <c r="BQ988" s="322"/>
      <c r="BR988" s="322"/>
      <c r="BS988" s="322"/>
      <c r="BT988" s="322"/>
      <c r="BU988" s="322"/>
      <c r="BV988" s="322"/>
      <c r="BW988" s="322"/>
      <c r="BX988" s="322"/>
      <c r="BY988" s="322"/>
      <c r="BZ988" s="322"/>
      <c r="CA988" s="322"/>
      <c r="CB988" s="322"/>
      <c r="CC988" s="322"/>
      <c r="CD988" s="322"/>
      <c r="CE988" s="322"/>
      <c r="CF988" s="322"/>
      <c r="CG988" s="322"/>
      <c r="CH988" s="322"/>
      <c r="CI988" s="322"/>
      <c r="CJ988" s="322"/>
      <c r="CK988" s="322"/>
      <c r="CL988" s="322"/>
      <c r="CM988" s="322"/>
      <c r="CN988" s="322"/>
      <c r="CO988" s="322"/>
      <c r="CP988" s="322"/>
      <c r="CQ988" s="322"/>
      <c r="CR988" s="322"/>
      <c r="CS988" s="322"/>
      <c r="CT988" s="322"/>
      <c r="CU988" s="322"/>
      <c r="CV988" s="322"/>
      <c r="CW988" s="322"/>
      <c r="CX988" s="322"/>
      <c r="CY988" s="322"/>
      <c r="CZ988" s="322"/>
      <c r="DA988" s="322"/>
      <c r="DB988" s="322"/>
      <c r="DC988" s="322"/>
      <c r="DD988" s="322"/>
      <c r="DE988" s="322"/>
      <c r="DF988" s="322"/>
      <c r="DG988" s="322"/>
      <c r="DH988" s="322"/>
      <c r="DI988" s="322"/>
      <c r="DJ988" s="322"/>
      <c r="DK988" s="322"/>
      <c r="DL988" s="322"/>
      <c r="DM988" s="322"/>
      <c r="DN988" s="322"/>
      <c r="DO988" s="322"/>
      <c r="DP988" s="322"/>
      <c r="DQ988" s="322"/>
      <c r="DR988" s="322"/>
      <c r="DS988" s="322"/>
      <c r="DT988" s="322"/>
      <c r="DU988" s="322"/>
      <c r="DV988" s="322"/>
      <c r="DW988" s="322"/>
      <c r="DX988" s="322"/>
      <c r="DY988" s="322"/>
      <c r="DZ988" s="322"/>
      <c r="EA988" s="322"/>
      <c r="EB988" s="322"/>
      <c r="EC988" s="322"/>
      <c r="ED988" s="322"/>
      <c r="EE988" s="322"/>
      <c r="EF988" s="322"/>
      <c r="EG988" s="322"/>
      <c r="EH988" s="322"/>
      <c r="EI988" s="322"/>
      <c r="EJ988" s="322"/>
      <c r="EK988" s="322"/>
      <c r="EL988" s="322"/>
      <c r="EM988" s="322"/>
      <c r="EN988" s="322"/>
      <c r="EO988" s="322"/>
      <c r="EP988" s="322"/>
      <c r="EQ988" s="322"/>
      <c r="ER988" s="322"/>
      <c r="ES988" s="322"/>
      <c r="ET988" s="322"/>
      <c r="EU988" s="322"/>
      <c r="EV988" s="322"/>
      <c r="EW988" s="322"/>
      <c r="EX988" s="322"/>
      <c r="EY988" s="322"/>
      <c r="EZ988" s="322"/>
      <c r="FA988" s="322"/>
      <c r="FB988" s="322"/>
      <c r="FC988" s="322"/>
      <c r="FD988" s="322"/>
      <c r="FE988" s="322"/>
      <c r="FF988" s="322"/>
      <c r="FG988" s="322"/>
      <c r="FH988" s="322"/>
      <c r="FI988" s="322"/>
      <c r="FJ988" s="322"/>
      <c r="FK988" s="322"/>
      <c r="FL988" s="322"/>
      <c r="FM988" s="322"/>
      <c r="FN988" s="322"/>
      <c r="FO988" s="322"/>
      <c r="FP988" s="322"/>
      <c r="FQ988" s="322"/>
      <c r="FR988" s="322"/>
      <c r="FS988" s="322"/>
      <c r="FT988" s="322"/>
      <c r="FU988" s="322"/>
      <c r="FV988" s="322"/>
      <c r="FW988" s="322"/>
      <c r="FX988" s="322"/>
      <c r="FY988" s="322"/>
      <c r="FZ988" s="322"/>
      <c r="GA988" s="322"/>
      <c r="GB988" s="322"/>
      <c r="GC988" s="322"/>
      <c r="GD988" s="322"/>
      <c r="GE988" s="322"/>
      <c r="GF988" s="322"/>
      <c r="GG988" s="322"/>
      <c r="GH988" s="322"/>
      <c r="GI988" s="322"/>
      <c r="GJ988" s="322"/>
      <c r="GK988" s="322"/>
      <c r="GL988" s="322"/>
      <c r="GM988" s="322"/>
      <c r="GN988" s="322"/>
      <c r="GO988" s="322"/>
      <c r="GP988" s="322"/>
      <c r="GQ988" s="322"/>
      <c r="GR988" s="322"/>
      <c r="GS988" s="322"/>
      <c r="GT988" s="322"/>
      <c r="GU988" s="322"/>
      <c r="GV988" s="322"/>
      <c r="GW988" s="322"/>
      <c r="GX988" s="322"/>
      <c r="GY988" s="322"/>
      <c r="GZ988" s="322"/>
      <c r="HA988" s="322"/>
      <c r="HB988" s="322"/>
      <c r="HC988" s="322"/>
      <c r="HD988" s="322"/>
      <c r="HE988" s="322"/>
      <c r="HF988" s="322"/>
      <c r="HG988" s="322"/>
      <c r="HH988" s="322"/>
      <c r="HI988" s="322"/>
      <c r="HJ988" s="322"/>
      <c r="HK988" s="322"/>
      <c r="HL988" s="322"/>
      <c r="HM988" s="322"/>
      <c r="HN988" s="322"/>
      <c r="HO988" s="322"/>
      <c r="HP988" s="322"/>
      <c r="HQ988" s="322"/>
      <c r="HR988" s="322"/>
      <c r="HS988" s="322"/>
      <c r="HT988" s="322"/>
      <c r="HU988" s="322"/>
      <c r="HV988" s="322"/>
      <c r="HW988" s="322"/>
      <c r="HX988" s="322"/>
      <c r="HY988" s="322"/>
      <c r="HZ988" s="322"/>
      <c r="IA988" s="322"/>
      <c r="IB988" s="322"/>
      <c r="IC988" s="322"/>
      <c r="ID988" s="322"/>
      <c r="IE988" s="322"/>
      <c r="IF988" s="322"/>
      <c r="IG988" s="322"/>
      <c r="IH988" s="322"/>
      <c r="II988" s="322"/>
      <c r="IJ988" s="322"/>
      <c r="IK988" s="322"/>
      <c r="IL988" s="322"/>
      <c r="IM988" s="322"/>
      <c r="IN988" s="322"/>
      <c r="IO988" s="322"/>
      <c r="IP988" s="322"/>
      <c r="IQ988" s="322"/>
      <c r="IR988" s="322"/>
      <c r="IS988" s="322"/>
      <c r="IT988" s="322"/>
      <c r="IU988" s="322"/>
      <c r="IV988" s="322"/>
      <c r="IW988" s="322"/>
      <c r="IX988" s="322"/>
      <c r="IY988" s="322"/>
      <c r="IZ988" s="322"/>
      <c r="JA988" s="322"/>
      <c r="JB988" s="322"/>
      <c r="JC988" s="322"/>
    </row>
    <row r="989" spans="1:263" ht="45" customHeight="1" x14ac:dyDescent="0.4">
      <c r="A989" s="323">
        <v>911146</v>
      </c>
      <c r="B989" s="324" t="s">
        <v>3559</v>
      </c>
      <c r="C989" s="325" t="s">
        <v>3561</v>
      </c>
      <c r="D989" s="326" t="s">
        <v>3558</v>
      </c>
      <c r="E989" s="327" t="s">
        <v>1998</v>
      </c>
      <c r="F989" s="327"/>
      <c r="G989" s="327" t="s">
        <v>383</v>
      </c>
      <c r="H989" s="325" t="e">
        <v>#N/A</v>
      </c>
      <c r="I989" s="325" t="e">
        <v>#N/A</v>
      </c>
      <c r="J989" s="328">
        <v>91</v>
      </c>
      <c r="K989" s="329">
        <v>9110</v>
      </c>
      <c r="L989" s="325" t="s">
        <v>3559</v>
      </c>
      <c r="M989" s="326" t="s">
        <v>2469</v>
      </c>
      <c r="N989" s="326"/>
      <c r="O989" s="330">
        <v>0</v>
      </c>
      <c r="P989" s="330">
        <v>0</v>
      </c>
      <c r="Q989" s="331">
        <v>9110</v>
      </c>
      <c r="R989" s="330">
        <v>0</v>
      </c>
      <c r="S989" s="330">
        <v>0</v>
      </c>
      <c r="T989" s="326" t="s">
        <v>170</v>
      </c>
      <c r="U989" s="326" t="s">
        <v>2040</v>
      </c>
      <c r="V989" s="332">
        <v>91110</v>
      </c>
      <c r="W989" s="333">
        <v>91110</v>
      </c>
      <c r="X989" s="322"/>
      <c r="Y989" s="322"/>
      <c r="Z989" s="322"/>
      <c r="AA989" s="322"/>
      <c r="AB989" s="322"/>
      <c r="AC989" s="322"/>
      <c r="AD989" s="322"/>
      <c r="AE989" s="322"/>
      <c r="AF989" s="322"/>
      <c r="AG989" s="322"/>
      <c r="AH989" s="322"/>
      <c r="AI989" s="322"/>
      <c r="AJ989" s="322"/>
      <c r="AK989" s="322"/>
      <c r="AL989" s="322"/>
      <c r="AM989" s="322"/>
      <c r="AN989" s="322"/>
      <c r="AO989" s="322"/>
      <c r="AP989" s="322"/>
      <c r="AQ989" s="322"/>
      <c r="AR989" s="322"/>
      <c r="AS989" s="322"/>
      <c r="AT989" s="322"/>
      <c r="AU989" s="322"/>
      <c r="AV989" s="322"/>
      <c r="AW989" s="322"/>
      <c r="AX989" s="322"/>
      <c r="AY989" s="322"/>
      <c r="AZ989" s="322"/>
      <c r="BA989" s="322"/>
      <c r="BB989" s="322"/>
      <c r="BC989" s="322"/>
      <c r="BD989" s="322"/>
      <c r="BE989" s="322"/>
      <c r="BF989" s="322"/>
      <c r="BG989" s="322"/>
      <c r="BH989" s="322"/>
      <c r="BI989" s="322"/>
      <c r="BJ989" s="322"/>
      <c r="BK989" s="322"/>
      <c r="BL989" s="322"/>
      <c r="BM989" s="322"/>
      <c r="BN989" s="322"/>
      <c r="BO989" s="322"/>
      <c r="BP989" s="322"/>
      <c r="BQ989" s="322"/>
      <c r="BR989" s="322"/>
      <c r="BS989" s="322"/>
      <c r="BT989" s="322"/>
      <c r="BU989" s="322"/>
      <c r="BV989" s="322"/>
      <c r="BW989" s="322"/>
      <c r="BX989" s="322"/>
      <c r="BY989" s="322"/>
      <c r="BZ989" s="322"/>
      <c r="CA989" s="322"/>
      <c r="CB989" s="322"/>
      <c r="CC989" s="322"/>
      <c r="CD989" s="322"/>
      <c r="CE989" s="322"/>
      <c r="CF989" s="322"/>
      <c r="CG989" s="322"/>
      <c r="CH989" s="322"/>
      <c r="CI989" s="322"/>
      <c r="CJ989" s="322"/>
      <c r="CK989" s="322"/>
      <c r="CL989" s="322"/>
      <c r="CM989" s="322"/>
      <c r="CN989" s="322"/>
      <c r="CO989" s="322"/>
      <c r="CP989" s="322"/>
      <c r="CQ989" s="322"/>
      <c r="CR989" s="322"/>
      <c r="CS989" s="322"/>
      <c r="CT989" s="322"/>
      <c r="CU989" s="322"/>
      <c r="CV989" s="322"/>
      <c r="CW989" s="322"/>
      <c r="CX989" s="322"/>
      <c r="CY989" s="322"/>
      <c r="CZ989" s="322"/>
      <c r="DA989" s="322"/>
      <c r="DB989" s="322"/>
      <c r="DC989" s="322"/>
      <c r="DD989" s="322"/>
      <c r="DE989" s="322"/>
      <c r="DF989" s="322"/>
      <c r="DG989" s="322"/>
      <c r="DH989" s="322"/>
      <c r="DI989" s="322"/>
      <c r="DJ989" s="322"/>
      <c r="DK989" s="322"/>
      <c r="DL989" s="322"/>
      <c r="DM989" s="322"/>
      <c r="DN989" s="322"/>
      <c r="DO989" s="322"/>
      <c r="DP989" s="322"/>
      <c r="DQ989" s="322"/>
      <c r="DR989" s="322"/>
      <c r="DS989" s="322"/>
      <c r="DT989" s="322"/>
      <c r="DU989" s="322"/>
      <c r="DV989" s="322"/>
      <c r="DW989" s="322"/>
      <c r="DX989" s="322"/>
      <c r="DY989" s="322"/>
      <c r="DZ989" s="322"/>
      <c r="EA989" s="322"/>
      <c r="EB989" s="322"/>
      <c r="EC989" s="322"/>
      <c r="ED989" s="322"/>
      <c r="EE989" s="322"/>
      <c r="EF989" s="322"/>
      <c r="EG989" s="322"/>
      <c r="EH989" s="322"/>
      <c r="EI989" s="322"/>
      <c r="EJ989" s="322"/>
      <c r="EK989" s="322"/>
      <c r="EL989" s="322"/>
      <c r="EM989" s="322"/>
      <c r="EN989" s="322"/>
      <c r="EO989" s="322"/>
      <c r="EP989" s="322"/>
      <c r="EQ989" s="322"/>
      <c r="ER989" s="322"/>
      <c r="ES989" s="322"/>
      <c r="ET989" s="322"/>
      <c r="EU989" s="322"/>
      <c r="EV989" s="322"/>
      <c r="EW989" s="322"/>
      <c r="EX989" s="322"/>
      <c r="EY989" s="322"/>
      <c r="EZ989" s="322"/>
      <c r="FA989" s="322"/>
      <c r="FB989" s="322"/>
      <c r="FC989" s="322"/>
      <c r="FD989" s="322"/>
      <c r="FE989" s="322"/>
      <c r="FF989" s="322"/>
      <c r="FG989" s="322"/>
      <c r="FH989" s="322"/>
      <c r="FI989" s="322"/>
      <c r="FJ989" s="322"/>
      <c r="FK989" s="322"/>
      <c r="FL989" s="322"/>
      <c r="FM989" s="322"/>
      <c r="FN989" s="322"/>
      <c r="FO989" s="322"/>
      <c r="FP989" s="322"/>
      <c r="FQ989" s="322"/>
      <c r="FR989" s="322"/>
      <c r="FS989" s="322"/>
      <c r="FT989" s="322"/>
      <c r="FU989" s="322"/>
      <c r="FV989" s="322"/>
      <c r="FW989" s="322"/>
      <c r="FX989" s="322"/>
      <c r="FY989" s="322"/>
      <c r="FZ989" s="322"/>
      <c r="GA989" s="322"/>
      <c r="GB989" s="322"/>
      <c r="GC989" s="322"/>
      <c r="GD989" s="322"/>
      <c r="GE989" s="322"/>
      <c r="GF989" s="322"/>
      <c r="GG989" s="322"/>
      <c r="GH989" s="322"/>
      <c r="GI989" s="322"/>
      <c r="GJ989" s="322"/>
      <c r="GK989" s="322"/>
      <c r="GL989" s="322"/>
      <c r="GM989" s="322"/>
      <c r="GN989" s="322"/>
      <c r="GO989" s="322"/>
      <c r="GP989" s="322"/>
      <c r="GQ989" s="322"/>
      <c r="GR989" s="322"/>
      <c r="GS989" s="322"/>
      <c r="GT989" s="322"/>
      <c r="GU989" s="322"/>
      <c r="GV989" s="322"/>
      <c r="GW989" s="322"/>
      <c r="GX989" s="322"/>
      <c r="GY989" s="322"/>
      <c r="GZ989" s="322"/>
      <c r="HA989" s="322"/>
      <c r="HB989" s="322"/>
      <c r="HC989" s="322"/>
      <c r="HD989" s="322"/>
      <c r="HE989" s="322"/>
      <c r="HF989" s="322"/>
      <c r="HG989" s="322"/>
      <c r="HH989" s="322"/>
      <c r="HI989" s="322"/>
      <c r="HJ989" s="322"/>
      <c r="HK989" s="322"/>
      <c r="HL989" s="322"/>
      <c r="HM989" s="322"/>
      <c r="HN989" s="322"/>
      <c r="HO989" s="322"/>
      <c r="HP989" s="322"/>
      <c r="HQ989" s="322"/>
      <c r="HR989" s="322"/>
      <c r="HS989" s="322"/>
      <c r="HT989" s="322"/>
      <c r="HU989" s="322"/>
      <c r="HV989" s="322"/>
      <c r="HW989" s="322"/>
      <c r="HX989" s="322"/>
      <c r="HY989" s="322"/>
      <c r="HZ989" s="322"/>
      <c r="IA989" s="322"/>
      <c r="IB989" s="322"/>
      <c r="IC989" s="322"/>
      <c r="ID989" s="322"/>
      <c r="IE989" s="322"/>
      <c r="IF989" s="322"/>
      <c r="IG989" s="322"/>
      <c r="IH989" s="322"/>
      <c r="II989" s="322"/>
      <c r="IJ989" s="322"/>
      <c r="IK989" s="322"/>
      <c r="IL989" s="322"/>
      <c r="IM989" s="322"/>
      <c r="IN989" s="322"/>
      <c r="IO989" s="322"/>
      <c r="IP989" s="322"/>
      <c r="IQ989" s="322"/>
      <c r="IR989" s="322"/>
      <c r="IS989" s="322"/>
      <c r="IT989" s="322"/>
      <c r="IU989" s="322"/>
      <c r="IV989" s="322"/>
      <c r="IW989" s="322"/>
      <c r="IX989" s="322"/>
      <c r="IY989" s="322"/>
      <c r="IZ989" s="322"/>
      <c r="JA989" s="322"/>
      <c r="JB989" s="322"/>
      <c r="JC989" s="322"/>
    </row>
    <row r="990" spans="1:263" ht="45" customHeight="1" x14ac:dyDescent="0.4">
      <c r="A990" s="323">
        <v>912262</v>
      </c>
      <c r="B990" s="324" t="s">
        <v>5296</v>
      </c>
      <c r="C990" s="325" t="s">
        <v>1999</v>
      </c>
      <c r="D990" s="326" t="s">
        <v>3558</v>
      </c>
      <c r="E990" s="327" t="s">
        <v>2000</v>
      </c>
      <c r="F990" s="327" t="s">
        <v>5297</v>
      </c>
      <c r="G990" s="327" t="s">
        <v>383</v>
      </c>
      <c r="H990" s="325" t="e">
        <v>#N/A</v>
      </c>
      <c r="I990" s="325" t="e">
        <v>#N/A</v>
      </c>
      <c r="J990" s="328">
        <v>91</v>
      </c>
      <c r="K990" s="329">
        <v>9110</v>
      </c>
      <c r="L990" s="325" t="s">
        <v>3559</v>
      </c>
      <c r="M990" s="326" t="s">
        <v>2469</v>
      </c>
      <c r="N990" s="326"/>
      <c r="O990" s="330">
        <v>0</v>
      </c>
      <c r="P990" s="330">
        <v>0</v>
      </c>
      <c r="Q990" s="331">
        <v>9110</v>
      </c>
      <c r="R990" s="330">
        <v>0</v>
      </c>
      <c r="S990" s="330">
        <v>0</v>
      </c>
      <c r="T990" s="326" t="s">
        <v>170</v>
      </c>
      <c r="U990" s="326" t="s">
        <v>2040</v>
      </c>
      <c r="V990" s="332">
        <v>91210</v>
      </c>
      <c r="W990" s="333" t="s">
        <v>3562</v>
      </c>
    </row>
    <row r="991" spans="1:263" ht="45" customHeight="1" x14ac:dyDescent="0.4">
      <c r="A991" s="323">
        <v>913384</v>
      </c>
      <c r="B991" s="324" t="s">
        <v>5298</v>
      </c>
      <c r="C991" s="325" t="s">
        <v>3563</v>
      </c>
      <c r="D991" s="326" t="s">
        <v>3558</v>
      </c>
      <c r="E991" s="327" t="s">
        <v>2001</v>
      </c>
      <c r="F991" s="327"/>
      <c r="G991" s="327" t="s">
        <v>383</v>
      </c>
      <c r="H991" s="325" t="e">
        <v>#N/A</v>
      </c>
      <c r="I991" s="325" t="e">
        <v>#N/A</v>
      </c>
      <c r="J991" s="328">
        <v>91</v>
      </c>
      <c r="K991" s="329">
        <v>9110</v>
      </c>
      <c r="L991" s="325" t="s">
        <v>3559</v>
      </c>
      <c r="M991" s="326" t="s">
        <v>2469</v>
      </c>
      <c r="N991" s="326"/>
      <c r="O991" s="330">
        <v>0</v>
      </c>
      <c r="P991" s="330">
        <v>0</v>
      </c>
      <c r="Q991" s="331">
        <v>9110</v>
      </c>
      <c r="R991" s="330">
        <v>0</v>
      </c>
      <c r="S991" s="330">
        <v>0</v>
      </c>
      <c r="T991" s="326" t="s">
        <v>170</v>
      </c>
      <c r="U991" s="326" t="s">
        <v>2040</v>
      </c>
      <c r="V991" s="332" t="s">
        <v>3564</v>
      </c>
      <c r="W991" s="333" t="s">
        <v>3565</v>
      </c>
    </row>
    <row r="992" spans="1:263" ht="45" customHeight="1" x14ac:dyDescent="0.4">
      <c r="A992" s="323">
        <v>913393</v>
      </c>
      <c r="B992" s="324" t="s">
        <v>5299</v>
      </c>
      <c r="C992" s="325" t="s">
        <v>3566</v>
      </c>
      <c r="D992" s="326" t="s">
        <v>3558</v>
      </c>
      <c r="E992" s="327" t="s">
        <v>2002</v>
      </c>
      <c r="F992" s="327"/>
      <c r="G992" s="327" t="s">
        <v>383</v>
      </c>
      <c r="H992" s="325" t="e">
        <v>#N/A</v>
      </c>
      <c r="I992" s="325" t="e">
        <v>#N/A</v>
      </c>
      <c r="J992" s="328">
        <v>91</v>
      </c>
      <c r="K992" s="329">
        <v>9110</v>
      </c>
      <c r="L992" s="325" t="s">
        <v>3559</v>
      </c>
      <c r="M992" s="326" t="s">
        <v>2469</v>
      </c>
      <c r="N992" s="326"/>
      <c r="O992" s="330">
        <v>0</v>
      </c>
      <c r="P992" s="330">
        <v>0</v>
      </c>
      <c r="Q992" s="331">
        <v>9110</v>
      </c>
      <c r="R992" s="330">
        <v>0</v>
      </c>
      <c r="S992" s="330">
        <v>0</v>
      </c>
      <c r="T992" s="326" t="s">
        <v>170</v>
      </c>
      <c r="U992" s="326" t="s">
        <v>2040</v>
      </c>
      <c r="V992" s="332" t="s">
        <v>3567</v>
      </c>
      <c r="W992" s="333" t="s">
        <v>3565</v>
      </c>
    </row>
    <row r="993" spans="1:263" ht="45" customHeight="1" x14ac:dyDescent="0.4">
      <c r="A993" s="323">
        <v>914263</v>
      </c>
      <c r="B993" s="324" t="s">
        <v>5300</v>
      </c>
      <c r="C993" s="325" t="s">
        <v>3568</v>
      </c>
      <c r="D993" s="326" t="s">
        <v>3558</v>
      </c>
      <c r="E993" s="327" t="s">
        <v>2003</v>
      </c>
      <c r="F993" s="327"/>
      <c r="G993" s="327" t="s">
        <v>383</v>
      </c>
      <c r="H993" s="325" t="e">
        <v>#N/A</v>
      </c>
      <c r="I993" s="325" t="e">
        <v>#N/A</v>
      </c>
      <c r="J993" s="328">
        <v>91</v>
      </c>
      <c r="K993" s="329">
        <v>9110</v>
      </c>
      <c r="L993" s="325" t="s">
        <v>3559</v>
      </c>
      <c r="M993" s="326" t="s">
        <v>2469</v>
      </c>
      <c r="N993" s="326"/>
      <c r="O993" s="330">
        <v>0</v>
      </c>
      <c r="P993" s="330">
        <v>0</v>
      </c>
      <c r="Q993" s="331">
        <v>9110</v>
      </c>
      <c r="R993" s="330">
        <v>0</v>
      </c>
      <c r="S993" s="330">
        <v>0</v>
      </c>
      <c r="T993" s="326" t="s">
        <v>170</v>
      </c>
      <c r="U993" s="326" t="s">
        <v>2040</v>
      </c>
      <c r="V993" s="332">
        <v>91410</v>
      </c>
      <c r="W993" s="333" t="s">
        <v>228</v>
      </c>
    </row>
    <row r="994" spans="1:263" ht="45" customHeight="1" x14ac:dyDescent="0.4">
      <c r="A994" s="323">
        <v>921164</v>
      </c>
      <c r="B994" s="324" t="s">
        <v>5301</v>
      </c>
      <c r="C994" s="325" t="s">
        <v>3569</v>
      </c>
      <c r="D994" s="326" t="s">
        <v>3558</v>
      </c>
      <c r="E994" s="327" t="s">
        <v>2004</v>
      </c>
      <c r="F994" s="327" t="s">
        <v>3917</v>
      </c>
      <c r="G994" s="327" t="s">
        <v>383</v>
      </c>
      <c r="H994" s="325" t="e">
        <v>#N/A</v>
      </c>
      <c r="I994" s="325" t="e">
        <v>#N/A</v>
      </c>
      <c r="J994" s="328">
        <v>99</v>
      </c>
      <c r="K994" s="329">
        <v>9900</v>
      </c>
      <c r="L994" s="325" t="s">
        <v>3570</v>
      </c>
      <c r="M994" s="326" t="s">
        <v>2469</v>
      </c>
      <c r="N994" s="326"/>
      <c r="O994" s="330">
        <v>0</v>
      </c>
      <c r="P994" s="330">
        <v>0</v>
      </c>
      <c r="Q994" s="331">
        <v>9900</v>
      </c>
      <c r="R994" s="330">
        <v>0</v>
      </c>
      <c r="S994" s="330">
        <v>0</v>
      </c>
      <c r="T994" s="326" t="s">
        <v>170</v>
      </c>
      <c r="U994" s="326" t="s">
        <v>2040</v>
      </c>
      <c r="V994" s="332"/>
      <c r="W994" s="333"/>
    </row>
    <row r="995" spans="1:263" ht="45" customHeight="1" x14ac:dyDescent="0.4">
      <c r="A995" s="323">
        <v>921167</v>
      </c>
      <c r="B995" s="324" t="s">
        <v>5302</v>
      </c>
      <c r="C995" s="325" t="s">
        <v>3571</v>
      </c>
      <c r="D995" s="326" t="s">
        <v>3558</v>
      </c>
      <c r="E995" s="327" t="s">
        <v>2005</v>
      </c>
      <c r="F995" s="327" t="s">
        <v>3917</v>
      </c>
      <c r="G995" s="327" t="s">
        <v>383</v>
      </c>
      <c r="H995" s="325" t="e">
        <v>#N/A</v>
      </c>
      <c r="I995" s="325" t="e">
        <v>#N/A</v>
      </c>
      <c r="J995" s="328">
        <v>99</v>
      </c>
      <c r="K995" s="329">
        <v>9900</v>
      </c>
      <c r="L995" s="325" t="s">
        <v>3570</v>
      </c>
      <c r="M995" s="326" t="s">
        <v>2469</v>
      </c>
      <c r="N995" s="326"/>
      <c r="O995" s="330">
        <v>0</v>
      </c>
      <c r="P995" s="330">
        <v>0</v>
      </c>
      <c r="Q995" s="331">
        <v>9900</v>
      </c>
      <c r="R995" s="330">
        <v>0</v>
      </c>
      <c r="S995" s="330">
        <v>0</v>
      </c>
      <c r="T995" s="326" t="s">
        <v>170</v>
      </c>
      <c r="U995" s="326" t="s">
        <v>2040</v>
      </c>
      <c r="V995" s="332"/>
      <c r="W995" s="333"/>
    </row>
    <row r="996" spans="1:263" ht="45" customHeight="1" x14ac:dyDescent="0.4">
      <c r="A996" s="323">
        <v>921168</v>
      </c>
      <c r="B996" s="324" t="s">
        <v>5303</v>
      </c>
      <c r="C996" s="325" t="s">
        <v>3572</v>
      </c>
      <c r="D996" s="326" t="s">
        <v>3558</v>
      </c>
      <c r="E996" s="327" t="s">
        <v>5304</v>
      </c>
      <c r="F996" s="327"/>
      <c r="G996" s="327" t="s">
        <v>383</v>
      </c>
      <c r="H996" s="325" t="e">
        <v>#N/A</v>
      </c>
      <c r="I996" s="325" t="e">
        <v>#N/A</v>
      </c>
      <c r="J996" s="328">
        <v>92</v>
      </c>
      <c r="K996" s="329">
        <v>9110</v>
      </c>
      <c r="L996" s="325" t="s">
        <v>3559</v>
      </c>
      <c r="M996" s="326" t="s">
        <v>2469</v>
      </c>
      <c r="N996" s="326"/>
      <c r="O996" s="330">
        <v>0</v>
      </c>
      <c r="P996" s="330">
        <v>0</v>
      </c>
      <c r="Q996" s="331">
        <v>9110</v>
      </c>
      <c r="R996" s="330">
        <v>0</v>
      </c>
      <c r="S996" s="330">
        <v>0</v>
      </c>
      <c r="T996" s="326" t="s">
        <v>170</v>
      </c>
      <c r="U996" s="326" t="s">
        <v>2040</v>
      </c>
      <c r="V996" s="332" t="s">
        <v>3573</v>
      </c>
      <c r="W996" s="333" t="s">
        <v>3574</v>
      </c>
    </row>
    <row r="997" spans="1:263" ht="45" customHeight="1" x14ac:dyDescent="0.4">
      <c r="A997" s="323">
        <v>921174</v>
      </c>
      <c r="B997" s="324" t="s">
        <v>5305</v>
      </c>
      <c r="C997" s="325" t="s">
        <v>3575</v>
      </c>
      <c r="D997" s="326" t="s">
        <v>3558</v>
      </c>
      <c r="E997" s="327" t="s">
        <v>2006</v>
      </c>
      <c r="F997" s="327"/>
      <c r="G997" s="327" t="s">
        <v>383</v>
      </c>
      <c r="H997" s="325" t="e">
        <v>#N/A</v>
      </c>
      <c r="I997" s="325" t="e">
        <v>#N/A</v>
      </c>
      <c r="J997" s="328">
        <v>99</v>
      </c>
      <c r="K997" s="329">
        <v>9900</v>
      </c>
      <c r="L997" s="325" t="s">
        <v>3570</v>
      </c>
      <c r="M997" s="326" t="s">
        <v>2469</v>
      </c>
      <c r="N997" s="326"/>
      <c r="O997" s="330">
        <v>0</v>
      </c>
      <c r="P997" s="330">
        <v>0</v>
      </c>
      <c r="Q997" s="331">
        <v>9900</v>
      </c>
      <c r="R997" s="330">
        <v>0</v>
      </c>
      <c r="S997" s="330">
        <v>0</v>
      </c>
      <c r="T997" s="326" t="s">
        <v>170</v>
      </c>
      <c r="U997" s="326" t="s">
        <v>2040</v>
      </c>
      <c r="V997" s="332" t="s">
        <v>3573</v>
      </c>
      <c r="W997" s="333" t="s">
        <v>3574</v>
      </c>
    </row>
    <row r="998" spans="1:263" ht="45" customHeight="1" x14ac:dyDescent="0.4">
      <c r="A998" s="323">
        <v>921177</v>
      </c>
      <c r="B998" s="324" t="s">
        <v>5306</v>
      </c>
      <c r="C998" s="325" t="s">
        <v>3576</v>
      </c>
      <c r="D998" s="326" t="s">
        <v>3558</v>
      </c>
      <c r="E998" s="327" t="s">
        <v>2007</v>
      </c>
      <c r="F998" s="327" t="s">
        <v>3917</v>
      </c>
      <c r="G998" s="327" t="s">
        <v>383</v>
      </c>
      <c r="H998" s="325" t="e">
        <v>#N/A</v>
      </c>
      <c r="I998" s="325" t="e">
        <v>#N/A</v>
      </c>
      <c r="J998" s="328">
        <v>99</v>
      </c>
      <c r="K998" s="329">
        <v>9900</v>
      </c>
      <c r="L998" s="325" t="s">
        <v>3570</v>
      </c>
      <c r="M998" s="326" t="s">
        <v>2469</v>
      </c>
      <c r="N998" s="326"/>
      <c r="O998" s="330">
        <v>0</v>
      </c>
      <c r="P998" s="330">
        <v>0</v>
      </c>
      <c r="Q998" s="331">
        <v>9900</v>
      </c>
      <c r="R998" s="330">
        <v>0</v>
      </c>
      <c r="S998" s="330">
        <v>0</v>
      </c>
      <c r="T998" s="326" t="s">
        <v>170</v>
      </c>
      <c r="U998" s="326" t="s">
        <v>2040</v>
      </c>
      <c r="V998" s="332"/>
      <c r="W998" s="333"/>
    </row>
    <row r="999" spans="1:263" ht="45" customHeight="1" x14ac:dyDescent="0.4">
      <c r="A999" s="323">
        <v>921178</v>
      </c>
      <c r="B999" s="324" t="s">
        <v>5307</v>
      </c>
      <c r="C999" s="325" t="s">
        <v>3577</v>
      </c>
      <c r="D999" s="326" t="s">
        <v>3558</v>
      </c>
      <c r="E999" s="327" t="s">
        <v>5308</v>
      </c>
      <c r="F999" s="327"/>
      <c r="G999" s="327" t="s">
        <v>383</v>
      </c>
      <c r="H999" s="325" t="e">
        <v>#N/A</v>
      </c>
      <c r="I999" s="325" t="e">
        <v>#N/A</v>
      </c>
      <c r="J999" s="328">
        <v>92</v>
      </c>
      <c r="K999" s="329">
        <v>9110</v>
      </c>
      <c r="L999" s="325" t="s">
        <v>3559</v>
      </c>
      <c r="M999" s="326" t="s">
        <v>2469</v>
      </c>
      <c r="N999" s="326"/>
      <c r="O999" s="330">
        <v>0</v>
      </c>
      <c r="P999" s="330">
        <v>0</v>
      </c>
      <c r="Q999" s="331">
        <v>9110</v>
      </c>
      <c r="R999" s="330">
        <v>0</v>
      </c>
      <c r="S999" s="330">
        <v>0</v>
      </c>
      <c r="T999" s="326" t="s">
        <v>170</v>
      </c>
      <c r="U999" s="326" t="s">
        <v>2040</v>
      </c>
      <c r="V999" s="332" t="s">
        <v>3573</v>
      </c>
      <c r="W999" s="333" t="s">
        <v>3574</v>
      </c>
    </row>
    <row r="1000" spans="1:263" ht="45" customHeight="1" x14ac:dyDescent="0.4">
      <c r="A1000" s="323">
        <v>922274</v>
      </c>
      <c r="B1000" s="324" t="s">
        <v>5309</v>
      </c>
      <c r="C1000" s="325" t="s">
        <v>3578</v>
      </c>
      <c r="D1000" s="326" t="s">
        <v>3558</v>
      </c>
      <c r="E1000" s="327" t="s">
        <v>2008</v>
      </c>
      <c r="F1000" s="327"/>
      <c r="G1000" s="327" t="s">
        <v>383</v>
      </c>
      <c r="H1000" s="325" t="e">
        <v>#N/A</v>
      </c>
      <c r="I1000" s="325" t="e">
        <v>#N/A</v>
      </c>
      <c r="J1000" s="328">
        <v>91</v>
      </c>
      <c r="K1000" s="329">
        <v>9110</v>
      </c>
      <c r="L1000" s="325" t="s">
        <v>3559</v>
      </c>
      <c r="M1000" s="326" t="s">
        <v>2469</v>
      </c>
      <c r="N1000" s="326"/>
      <c r="O1000" s="330">
        <v>0</v>
      </c>
      <c r="P1000" s="330">
        <v>0</v>
      </c>
      <c r="Q1000" s="331">
        <v>9110</v>
      </c>
      <c r="R1000" s="330">
        <v>0</v>
      </c>
      <c r="S1000" s="330">
        <v>0</v>
      </c>
      <c r="T1000" s="326" t="s">
        <v>170</v>
      </c>
      <c r="U1000" s="326" t="s">
        <v>2040</v>
      </c>
      <c r="V1000" s="332">
        <v>92212</v>
      </c>
      <c r="W1000" s="333">
        <v>92220</v>
      </c>
    </row>
    <row r="1001" spans="1:263" ht="45" customHeight="1" x14ac:dyDescent="0.4">
      <c r="A1001" s="323">
        <v>922276</v>
      </c>
      <c r="B1001" s="324" t="s">
        <v>5310</v>
      </c>
      <c r="C1001" s="325" t="s">
        <v>3579</v>
      </c>
      <c r="D1001" s="326" t="s">
        <v>3558</v>
      </c>
      <c r="E1001" s="327" t="s">
        <v>2009</v>
      </c>
      <c r="F1001" s="327"/>
      <c r="G1001" s="327" t="s">
        <v>383</v>
      </c>
      <c r="H1001" s="325" t="e">
        <v>#N/A</v>
      </c>
      <c r="I1001" s="325" t="e">
        <v>#N/A</v>
      </c>
      <c r="J1001" s="328">
        <v>91</v>
      </c>
      <c r="K1001" s="329">
        <v>9110</v>
      </c>
      <c r="L1001" s="325" t="s">
        <v>3559</v>
      </c>
      <c r="M1001" s="326" t="s">
        <v>2469</v>
      </c>
      <c r="N1001" s="326"/>
      <c r="O1001" s="330">
        <v>0</v>
      </c>
      <c r="P1001" s="330">
        <v>0</v>
      </c>
      <c r="Q1001" s="331">
        <v>9110</v>
      </c>
      <c r="R1001" s="330">
        <v>0</v>
      </c>
      <c r="S1001" s="330">
        <v>0</v>
      </c>
      <c r="T1001" s="326" t="s">
        <v>170</v>
      </c>
      <c r="U1001" s="326" t="s">
        <v>2040</v>
      </c>
      <c r="V1001" s="332">
        <v>92210</v>
      </c>
      <c r="W1001" s="333" t="s">
        <v>3580</v>
      </c>
    </row>
    <row r="1002" spans="1:263" ht="45" customHeight="1" x14ac:dyDescent="0.4">
      <c r="A1002" s="323">
        <v>922278</v>
      </c>
      <c r="B1002" s="324" t="s">
        <v>5311</v>
      </c>
      <c r="C1002" s="325" t="s">
        <v>3581</v>
      </c>
      <c r="D1002" s="326" t="s">
        <v>3558</v>
      </c>
      <c r="E1002" s="327" t="s">
        <v>2010</v>
      </c>
      <c r="F1002" s="327"/>
      <c r="G1002" s="327" t="s">
        <v>383</v>
      </c>
      <c r="H1002" s="325" t="e">
        <v>#N/A</v>
      </c>
      <c r="I1002" s="325" t="e">
        <v>#N/A</v>
      </c>
      <c r="J1002" s="328">
        <v>91</v>
      </c>
      <c r="K1002" s="329">
        <v>9110</v>
      </c>
      <c r="L1002" s="325" t="s">
        <v>3559</v>
      </c>
      <c r="M1002" s="326" t="s">
        <v>2469</v>
      </c>
      <c r="N1002" s="326"/>
      <c r="O1002" s="330">
        <v>0</v>
      </c>
      <c r="P1002" s="330">
        <v>0</v>
      </c>
      <c r="Q1002" s="331">
        <v>9110</v>
      </c>
      <c r="R1002" s="330">
        <v>0</v>
      </c>
      <c r="S1002" s="330">
        <v>0</v>
      </c>
      <c r="T1002" s="326" t="s">
        <v>170</v>
      </c>
      <c r="U1002" s="326" t="s">
        <v>2040</v>
      </c>
      <c r="V1002" s="332">
        <v>92210</v>
      </c>
      <c r="W1002" s="333">
        <v>92210</v>
      </c>
    </row>
    <row r="1003" spans="1:263" ht="45" customHeight="1" x14ac:dyDescent="0.4">
      <c r="A1003" s="323">
        <v>922292</v>
      </c>
      <c r="B1003" s="324" t="s">
        <v>5312</v>
      </c>
      <c r="C1003" s="325" t="s">
        <v>3582</v>
      </c>
      <c r="D1003" s="326" t="s">
        <v>3558</v>
      </c>
      <c r="E1003" s="327" t="s">
        <v>5313</v>
      </c>
      <c r="F1003" s="327"/>
      <c r="G1003" s="327" t="s">
        <v>383</v>
      </c>
      <c r="H1003" s="325" t="e">
        <v>#N/A</v>
      </c>
      <c r="I1003" s="325" t="e">
        <v>#N/A</v>
      </c>
      <c r="J1003" s="328">
        <v>92</v>
      </c>
      <c r="K1003" s="329">
        <v>9110</v>
      </c>
      <c r="L1003" s="325" t="s">
        <v>3559</v>
      </c>
      <c r="M1003" s="326" t="s">
        <v>2469</v>
      </c>
      <c r="N1003" s="326"/>
      <c r="O1003" s="330">
        <v>0</v>
      </c>
      <c r="P1003" s="330">
        <v>0</v>
      </c>
      <c r="Q1003" s="331">
        <v>9110</v>
      </c>
      <c r="R1003" s="330">
        <v>0</v>
      </c>
      <c r="S1003" s="330">
        <v>0</v>
      </c>
      <c r="T1003" s="326" t="s">
        <v>170</v>
      </c>
      <c r="U1003" s="326" t="s">
        <v>2040</v>
      </c>
      <c r="V1003" s="332">
        <v>92210</v>
      </c>
      <c r="W1003" s="333" t="s">
        <v>3580</v>
      </c>
      <c r="X1003" s="322"/>
      <c r="Y1003" s="322"/>
      <c r="Z1003" s="322"/>
      <c r="AA1003" s="322"/>
      <c r="AB1003" s="322"/>
      <c r="AC1003" s="322"/>
      <c r="AD1003" s="322"/>
      <c r="AE1003" s="322"/>
      <c r="AF1003" s="322"/>
      <c r="AG1003" s="322"/>
      <c r="AH1003" s="322"/>
      <c r="AI1003" s="322"/>
      <c r="AJ1003" s="322"/>
      <c r="AK1003" s="322"/>
      <c r="AL1003" s="322"/>
      <c r="AM1003" s="322"/>
      <c r="AN1003" s="322"/>
      <c r="AO1003" s="322"/>
      <c r="AP1003" s="322"/>
      <c r="AQ1003" s="322"/>
      <c r="AR1003" s="322"/>
      <c r="AS1003" s="322"/>
      <c r="AT1003" s="322"/>
      <c r="AU1003" s="322"/>
      <c r="AV1003" s="322"/>
      <c r="AW1003" s="322"/>
      <c r="AX1003" s="322"/>
      <c r="AY1003" s="322"/>
      <c r="AZ1003" s="322"/>
      <c r="BA1003" s="322"/>
      <c r="BB1003" s="322"/>
      <c r="BC1003" s="322"/>
      <c r="BD1003" s="322"/>
      <c r="BE1003" s="322"/>
      <c r="BF1003" s="322"/>
      <c r="BG1003" s="322"/>
      <c r="BH1003" s="322"/>
      <c r="BI1003" s="322"/>
      <c r="BJ1003" s="322"/>
      <c r="BK1003" s="322"/>
      <c r="BL1003" s="322"/>
      <c r="BM1003" s="322"/>
      <c r="BN1003" s="322"/>
      <c r="BO1003" s="322"/>
      <c r="BP1003" s="322"/>
      <c r="BQ1003" s="322"/>
      <c r="BR1003" s="322"/>
      <c r="BS1003" s="322"/>
      <c r="BT1003" s="322"/>
      <c r="BU1003" s="322"/>
      <c r="BV1003" s="322"/>
      <c r="BW1003" s="322"/>
      <c r="BX1003" s="322"/>
      <c r="BY1003" s="322"/>
      <c r="BZ1003" s="322"/>
      <c r="CA1003" s="322"/>
      <c r="CB1003" s="322"/>
      <c r="CC1003" s="322"/>
      <c r="CD1003" s="322"/>
      <c r="CE1003" s="322"/>
      <c r="CF1003" s="322"/>
      <c r="CG1003" s="322"/>
      <c r="CH1003" s="322"/>
      <c r="CI1003" s="322"/>
      <c r="CJ1003" s="322"/>
      <c r="CK1003" s="322"/>
      <c r="CL1003" s="322"/>
      <c r="CM1003" s="322"/>
      <c r="CN1003" s="322"/>
      <c r="CO1003" s="322"/>
      <c r="CP1003" s="322"/>
      <c r="CQ1003" s="322"/>
      <c r="CR1003" s="322"/>
      <c r="CS1003" s="322"/>
      <c r="CT1003" s="322"/>
      <c r="CU1003" s="322"/>
      <c r="CV1003" s="322"/>
      <c r="CW1003" s="322"/>
      <c r="CX1003" s="322"/>
      <c r="CY1003" s="322"/>
      <c r="CZ1003" s="322"/>
      <c r="DA1003" s="322"/>
      <c r="DB1003" s="322"/>
      <c r="DC1003" s="322"/>
      <c r="DD1003" s="322"/>
      <c r="DE1003" s="322"/>
      <c r="DF1003" s="322"/>
      <c r="DG1003" s="322"/>
      <c r="DH1003" s="322"/>
      <c r="DI1003" s="322"/>
      <c r="DJ1003" s="322"/>
      <c r="DK1003" s="322"/>
      <c r="DL1003" s="322"/>
      <c r="DM1003" s="322"/>
      <c r="DN1003" s="322"/>
      <c r="DO1003" s="322"/>
      <c r="DP1003" s="322"/>
      <c r="DQ1003" s="322"/>
      <c r="DR1003" s="322"/>
      <c r="DS1003" s="322"/>
      <c r="DT1003" s="322"/>
      <c r="DU1003" s="322"/>
      <c r="DV1003" s="322"/>
      <c r="DW1003" s="322"/>
      <c r="DX1003" s="322"/>
      <c r="DY1003" s="322"/>
      <c r="DZ1003" s="322"/>
      <c r="EA1003" s="322"/>
      <c r="EB1003" s="322"/>
      <c r="EC1003" s="322"/>
      <c r="ED1003" s="322"/>
      <c r="EE1003" s="322"/>
      <c r="EF1003" s="322"/>
      <c r="EG1003" s="322"/>
      <c r="EH1003" s="322"/>
      <c r="EI1003" s="322"/>
      <c r="EJ1003" s="322"/>
      <c r="EK1003" s="322"/>
      <c r="EL1003" s="322"/>
      <c r="EM1003" s="322"/>
      <c r="EN1003" s="322"/>
      <c r="EO1003" s="322"/>
      <c r="EP1003" s="322"/>
      <c r="EQ1003" s="322"/>
      <c r="ER1003" s="322"/>
      <c r="ES1003" s="322"/>
      <c r="ET1003" s="322"/>
      <c r="EU1003" s="322"/>
      <c r="EV1003" s="322"/>
      <c r="EW1003" s="322"/>
      <c r="EX1003" s="322"/>
      <c r="EY1003" s="322"/>
      <c r="EZ1003" s="322"/>
      <c r="FA1003" s="322"/>
      <c r="FB1003" s="322"/>
      <c r="FC1003" s="322"/>
      <c r="FD1003" s="322"/>
      <c r="FE1003" s="322"/>
      <c r="FF1003" s="322"/>
      <c r="FG1003" s="322"/>
      <c r="FH1003" s="322"/>
      <c r="FI1003" s="322"/>
      <c r="FJ1003" s="322"/>
      <c r="FK1003" s="322"/>
      <c r="FL1003" s="322"/>
      <c r="FM1003" s="322"/>
      <c r="FN1003" s="322"/>
      <c r="FO1003" s="322"/>
      <c r="FP1003" s="322"/>
      <c r="FQ1003" s="322"/>
      <c r="FR1003" s="322"/>
      <c r="FS1003" s="322"/>
      <c r="FT1003" s="322"/>
      <c r="FU1003" s="322"/>
      <c r="FV1003" s="322"/>
      <c r="FW1003" s="322"/>
      <c r="FX1003" s="322"/>
      <c r="FY1003" s="322"/>
      <c r="FZ1003" s="322"/>
      <c r="GA1003" s="322"/>
      <c r="GB1003" s="322"/>
      <c r="GC1003" s="322"/>
      <c r="GD1003" s="322"/>
      <c r="GE1003" s="322"/>
      <c r="GF1003" s="322"/>
      <c r="GG1003" s="322"/>
      <c r="GH1003" s="322"/>
      <c r="GI1003" s="322"/>
      <c r="GJ1003" s="322"/>
      <c r="GK1003" s="322"/>
      <c r="GL1003" s="322"/>
      <c r="GM1003" s="322"/>
      <c r="GN1003" s="322"/>
      <c r="GO1003" s="322"/>
      <c r="GP1003" s="322"/>
      <c r="GQ1003" s="322"/>
      <c r="GR1003" s="322"/>
      <c r="GS1003" s="322"/>
      <c r="GT1003" s="322"/>
      <c r="GU1003" s="322"/>
      <c r="GV1003" s="322"/>
      <c r="GW1003" s="322"/>
      <c r="GX1003" s="322"/>
      <c r="GY1003" s="322"/>
      <c r="GZ1003" s="322"/>
      <c r="HA1003" s="322"/>
      <c r="HB1003" s="322"/>
      <c r="HC1003" s="322"/>
      <c r="HD1003" s="322"/>
      <c r="HE1003" s="322"/>
      <c r="HF1003" s="322"/>
      <c r="HG1003" s="322"/>
      <c r="HH1003" s="322"/>
      <c r="HI1003" s="322"/>
      <c r="HJ1003" s="322"/>
      <c r="HK1003" s="322"/>
      <c r="HL1003" s="322"/>
      <c r="HM1003" s="322"/>
      <c r="HN1003" s="322"/>
      <c r="HO1003" s="322"/>
      <c r="HP1003" s="322"/>
      <c r="HQ1003" s="322"/>
      <c r="HR1003" s="322"/>
      <c r="HS1003" s="322"/>
      <c r="HT1003" s="322"/>
      <c r="HU1003" s="322"/>
      <c r="HV1003" s="322"/>
      <c r="HW1003" s="322"/>
      <c r="HX1003" s="322"/>
      <c r="HY1003" s="322"/>
      <c r="HZ1003" s="322"/>
      <c r="IA1003" s="322"/>
      <c r="IB1003" s="322"/>
      <c r="IC1003" s="322"/>
      <c r="ID1003" s="322"/>
      <c r="IE1003" s="322"/>
      <c r="IF1003" s="322"/>
      <c r="IG1003" s="322"/>
      <c r="IH1003" s="322"/>
      <c r="II1003" s="322"/>
      <c r="IJ1003" s="322"/>
      <c r="IK1003" s="322"/>
      <c r="IL1003" s="322"/>
      <c r="IM1003" s="322"/>
      <c r="IN1003" s="322"/>
      <c r="IO1003" s="322"/>
      <c r="IP1003" s="322"/>
      <c r="IQ1003" s="322"/>
      <c r="IR1003" s="322"/>
      <c r="IS1003" s="322"/>
      <c r="IT1003" s="322"/>
      <c r="IU1003" s="322"/>
      <c r="IV1003" s="322"/>
      <c r="IW1003" s="322"/>
      <c r="IX1003" s="322"/>
      <c r="IY1003" s="322"/>
      <c r="IZ1003" s="322"/>
      <c r="JA1003" s="322"/>
      <c r="JB1003" s="322"/>
      <c r="JC1003" s="322"/>
    </row>
    <row r="1004" spans="1:263" ht="45" customHeight="1" x14ac:dyDescent="0.4">
      <c r="A1004" s="323">
        <v>922294</v>
      </c>
      <c r="B1004" s="324" t="s">
        <v>5314</v>
      </c>
      <c r="C1004" s="325" t="s">
        <v>3583</v>
      </c>
      <c r="D1004" s="326" t="s">
        <v>3558</v>
      </c>
      <c r="E1004" s="327" t="s">
        <v>2011</v>
      </c>
      <c r="F1004" s="327"/>
      <c r="G1004" s="327" t="s">
        <v>383</v>
      </c>
      <c r="H1004" s="325" t="e">
        <v>#N/A</v>
      </c>
      <c r="I1004" s="325" t="e">
        <v>#N/A</v>
      </c>
      <c r="J1004" s="328">
        <v>91</v>
      </c>
      <c r="K1004" s="329">
        <v>9110</v>
      </c>
      <c r="L1004" s="325" t="s">
        <v>3559</v>
      </c>
      <c r="M1004" s="326" t="s">
        <v>2469</v>
      </c>
      <c r="N1004" s="326"/>
      <c r="O1004" s="330">
        <v>0</v>
      </c>
      <c r="P1004" s="330">
        <v>0</v>
      </c>
      <c r="Q1004" s="331">
        <v>9110</v>
      </c>
      <c r="R1004" s="330">
        <v>0</v>
      </c>
      <c r="S1004" s="330">
        <v>0</v>
      </c>
      <c r="T1004" s="326" t="s">
        <v>170</v>
      </c>
      <c r="U1004" s="326" t="s">
        <v>2040</v>
      </c>
      <c r="V1004" s="332">
        <v>92210</v>
      </c>
      <c r="W1004" s="333" t="s">
        <v>228</v>
      </c>
    </row>
    <row r="1005" spans="1:263" ht="45" customHeight="1" x14ac:dyDescent="0.4">
      <c r="A1005" s="323">
        <v>922298</v>
      </c>
      <c r="B1005" s="324" t="s">
        <v>5315</v>
      </c>
      <c r="C1005" s="325" t="s">
        <v>3584</v>
      </c>
      <c r="D1005" s="326" t="s">
        <v>3558</v>
      </c>
      <c r="E1005" s="327" t="s">
        <v>5316</v>
      </c>
      <c r="F1005" s="327"/>
      <c r="G1005" s="327" t="s">
        <v>383</v>
      </c>
      <c r="H1005" s="325" t="e">
        <v>#N/A</v>
      </c>
      <c r="I1005" s="325" t="e">
        <v>#N/A</v>
      </c>
      <c r="J1005" s="328">
        <v>91</v>
      </c>
      <c r="K1005" s="329">
        <v>9110</v>
      </c>
      <c r="L1005" s="325" t="s">
        <v>3559</v>
      </c>
      <c r="M1005" s="326" t="s">
        <v>2469</v>
      </c>
      <c r="N1005" s="326"/>
      <c r="O1005" s="330">
        <v>0</v>
      </c>
      <c r="P1005" s="330">
        <v>0</v>
      </c>
      <c r="Q1005" s="331">
        <v>9110</v>
      </c>
      <c r="R1005" s="330">
        <v>0</v>
      </c>
      <c r="S1005" s="330">
        <v>0</v>
      </c>
      <c r="T1005" s="326" t="s">
        <v>170</v>
      </c>
      <c r="U1005" s="326" t="s">
        <v>2040</v>
      </c>
      <c r="V1005" s="332">
        <v>92210</v>
      </c>
      <c r="W1005" s="333" t="s">
        <v>228</v>
      </c>
    </row>
    <row r="1006" spans="1:263" ht="45" customHeight="1" x14ac:dyDescent="0.4">
      <c r="A1006" s="323">
        <v>922355</v>
      </c>
      <c r="B1006" s="324" t="s">
        <v>5317</v>
      </c>
      <c r="C1006" s="325" t="s">
        <v>3585</v>
      </c>
      <c r="D1006" s="326" t="s">
        <v>3558</v>
      </c>
      <c r="E1006" s="327" t="s">
        <v>2012</v>
      </c>
      <c r="F1006" s="327"/>
      <c r="G1006" s="327" t="s">
        <v>383</v>
      </c>
      <c r="H1006" s="325" t="e">
        <v>#N/A</v>
      </c>
      <c r="I1006" s="325" t="e">
        <v>#N/A</v>
      </c>
      <c r="J1006" s="328">
        <v>91</v>
      </c>
      <c r="K1006" s="329">
        <v>9110</v>
      </c>
      <c r="L1006" s="325" t="s">
        <v>3559</v>
      </c>
      <c r="M1006" s="326" t="s">
        <v>2469</v>
      </c>
      <c r="N1006" s="326"/>
      <c r="O1006" s="330">
        <v>0</v>
      </c>
      <c r="P1006" s="330">
        <v>0</v>
      </c>
      <c r="Q1006" s="331">
        <v>9110</v>
      </c>
      <c r="R1006" s="330">
        <v>0</v>
      </c>
      <c r="S1006" s="330">
        <v>0</v>
      </c>
      <c r="T1006" s="326" t="s">
        <v>170</v>
      </c>
      <c r="U1006" s="326" t="s">
        <v>2040</v>
      </c>
      <c r="V1006" s="332">
        <v>92210</v>
      </c>
      <c r="W1006" s="333">
        <v>92230</v>
      </c>
    </row>
    <row r="1007" spans="1:263" ht="45" customHeight="1" x14ac:dyDescent="0.4">
      <c r="A1007" s="323">
        <v>922357</v>
      </c>
      <c r="B1007" s="324" t="s">
        <v>5318</v>
      </c>
      <c r="C1007" s="325" t="s">
        <v>3586</v>
      </c>
      <c r="D1007" s="326" t="s">
        <v>3558</v>
      </c>
      <c r="E1007" s="327" t="s">
        <v>2013</v>
      </c>
      <c r="F1007" s="327"/>
      <c r="G1007" s="327" t="s">
        <v>383</v>
      </c>
      <c r="H1007" s="325" t="e">
        <v>#N/A</v>
      </c>
      <c r="I1007" s="325" t="e">
        <v>#N/A</v>
      </c>
      <c r="J1007" s="328">
        <v>91</v>
      </c>
      <c r="K1007" s="329">
        <v>9110</v>
      </c>
      <c r="L1007" s="325" t="s">
        <v>3559</v>
      </c>
      <c r="M1007" s="326" t="s">
        <v>2469</v>
      </c>
      <c r="N1007" s="326"/>
      <c r="O1007" s="330">
        <v>0</v>
      </c>
      <c r="P1007" s="330">
        <v>0</v>
      </c>
      <c r="Q1007" s="331">
        <v>9110</v>
      </c>
      <c r="R1007" s="330">
        <v>0</v>
      </c>
      <c r="S1007" s="330">
        <v>0</v>
      </c>
      <c r="T1007" s="326" t="s">
        <v>170</v>
      </c>
      <c r="U1007" s="326" t="s">
        <v>2040</v>
      </c>
      <c r="V1007" s="332">
        <v>92210</v>
      </c>
      <c r="W1007" s="333">
        <v>92310</v>
      </c>
    </row>
    <row r="1008" spans="1:263" ht="45" customHeight="1" x14ac:dyDescent="0.4">
      <c r="A1008" s="323">
        <v>923322</v>
      </c>
      <c r="B1008" s="324" t="s">
        <v>5319</v>
      </c>
      <c r="C1008" s="325" t="s">
        <v>3587</v>
      </c>
      <c r="D1008" s="326" t="s">
        <v>3558</v>
      </c>
      <c r="E1008" s="327" t="s">
        <v>2014</v>
      </c>
      <c r="F1008" s="327"/>
      <c r="G1008" s="327" t="s">
        <v>383</v>
      </c>
      <c r="H1008" s="325" t="e">
        <v>#N/A</v>
      </c>
      <c r="I1008" s="325" t="e">
        <v>#N/A</v>
      </c>
      <c r="J1008" s="328">
        <v>91</v>
      </c>
      <c r="K1008" s="329">
        <v>9110</v>
      </c>
      <c r="L1008" s="325" t="s">
        <v>3559</v>
      </c>
      <c r="M1008" s="326" t="s">
        <v>2469</v>
      </c>
      <c r="N1008" s="326"/>
      <c r="O1008" s="330">
        <v>0</v>
      </c>
      <c r="P1008" s="330">
        <v>0</v>
      </c>
      <c r="Q1008" s="331">
        <v>9110</v>
      </c>
      <c r="R1008" s="330">
        <v>0</v>
      </c>
      <c r="S1008" s="330">
        <v>0</v>
      </c>
      <c r="T1008" s="326" t="s">
        <v>170</v>
      </c>
      <c r="U1008" s="326" t="s">
        <v>2040</v>
      </c>
      <c r="V1008" s="332">
        <v>92310</v>
      </c>
      <c r="W1008" s="333">
        <v>92340</v>
      </c>
    </row>
    <row r="1009" spans="1:263" ht="45" customHeight="1" x14ac:dyDescent="0.4">
      <c r="A1009" s="323">
        <v>923366</v>
      </c>
      <c r="B1009" s="324" t="s">
        <v>5320</v>
      </c>
      <c r="C1009" s="325" t="s">
        <v>3588</v>
      </c>
      <c r="D1009" s="326" t="s">
        <v>3558</v>
      </c>
      <c r="E1009" s="327" t="s">
        <v>2015</v>
      </c>
      <c r="F1009" s="327"/>
      <c r="G1009" s="327" t="s">
        <v>383</v>
      </c>
      <c r="H1009" s="325" t="e">
        <v>#N/A</v>
      </c>
      <c r="I1009" s="325" t="e">
        <v>#N/A</v>
      </c>
      <c r="J1009" s="328">
        <v>91</v>
      </c>
      <c r="K1009" s="329">
        <v>9110</v>
      </c>
      <c r="L1009" s="325" t="s">
        <v>3559</v>
      </c>
      <c r="M1009" s="326" t="s">
        <v>2469</v>
      </c>
      <c r="N1009" s="326"/>
      <c r="O1009" s="330">
        <v>0</v>
      </c>
      <c r="P1009" s="330">
        <v>0</v>
      </c>
      <c r="Q1009" s="331">
        <v>9110</v>
      </c>
      <c r="R1009" s="330">
        <v>0</v>
      </c>
      <c r="S1009" s="330">
        <v>0</v>
      </c>
      <c r="T1009" s="326" t="s">
        <v>170</v>
      </c>
      <c r="U1009" s="326" t="s">
        <v>2040</v>
      </c>
      <c r="V1009" s="332">
        <v>92310</v>
      </c>
      <c r="W1009" s="333" t="s">
        <v>228</v>
      </c>
    </row>
    <row r="1010" spans="1:263" ht="45" customHeight="1" x14ac:dyDescent="0.4">
      <c r="A1010" s="323">
        <v>923376</v>
      </c>
      <c r="B1010" s="324" t="s">
        <v>5321</v>
      </c>
      <c r="C1010" s="325" t="s">
        <v>3589</v>
      </c>
      <c r="D1010" s="326" t="s">
        <v>3558</v>
      </c>
      <c r="E1010" s="327" t="s">
        <v>2016</v>
      </c>
      <c r="F1010" s="327"/>
      <c r="G1010" s="327" t="s">
        <v>383</v>
      </c>
      <c r="H1010" s="325" t="e">
        <v>#N/A</v>
      </c>
      <c r="I1010" s="325" t="e">
        <v>#N/A</v>
      </c>
      <c r="J1010" s="328">
        <v>91</v>
      </c>
      <c r="K1010" s="329">
        <v>9110</v>
      </c>
      <c r="L1010" s="325" t="s">
        <v>3559</v>
      </c>
      <c r="M1010" s="326" t="s">
        <v>2469</v>
      </c>
      <c r="N1010" s="326"/>
      <c r="O1010" s="330">
        <v>0</v>
      </c>
      <c r="P1010" s="330">
        <v>0</v>
      </c>
      <c r="Q1010" s="331">
        <v>9110</v>
      </c>
      <c r="R1010" s="330">
        <v>0</v>
      </c>
      <c r="S1010" s="330">
        <v>0</v>
      </c>
      <c r="T1010" s="326" t="s">
        <v>170</v>
      </c>
      <c r="U1010" s="326" t="s">
        <v>2040</v>
      </c>
      <c r="V1010" s="332">
        <v>92310</v>
      </c>
      <c r="W1010" s="333">
        <v>92360</v>
      </c>
      <c r="X1010" s="322"/>
      <c r="Y1010" s="322"/>
      <c r="Z1010" s="322"/>
      <c r="AA1010" s="322"/>
      <c r="AB1010" s="322"/>
      <c r="AC1010" s="322"/>
      <c r="AD1010" s="322"/>
      <c r="AE1010" s="322"/>
      <c r="AF1010" s="322"/>
      <c r="AG1010" s="322"/>
      <c r="AH1010" s="322"/>
      <c r="AI1010" s="322"/>
      <c r="AJ1010" s="322"/>
      <c r="AK1010" s="322"/>
      <c r="AL1010" s="322"/>
      <c r="AM1010" s="322"/>
      <c r="AN1010" s="322"/>
      <c r="AO1010" s="322"/>
      <c r="AP1010" s="322"/>
      <c r="AQ1010" s="322"/>
      <c r="AR1010" s="322"/>
      <c r="AS1010" s="322"/>
      <c r="AT1010" s="322"/>
      <c r="AU1010" s="322"/>
      <c r="AV1010" s="322"/>
      <c r="AW1010" s="322"/>
      <c r="AX1010" s="322"/>
      <c r="AY1010" s="322"/>
      <c r="AZ1010" s="322"/>
      <c r="BA1010" s="322"/>
      <c r="BB1010" s="322"/>
      <c r="BC1010" s="322"/>
      <c r="BD1010" s="322"/>
      <c r="BE1010" s="322"/>
      <c r="BF1010" s="322"/>
      <c r="BG1010" s="322"/>
      <c r="BH1010" s="322"/>
      <c r="BI1010" s="322"/>
      <c r="BJ1010" s="322"/>
      <c r="BK1010" s="322"/>
      <c r="BL1010" s="322"/>
      <c r="BM1010" s="322"/>
      <c r="BN1010" s="322"/>
      <c r="BO1010" s="322"/>
      <c r="BP1010" s="322"/>
      <c r="BQ1010" s="322"/>
      <c r="BR1010" s="322"/>
      <c r="BS1010" s="322"/>
      <c r="BT1010" s="322"/>
      <c r="BU1010" s="322"/>
      <c r="BV1010" s="322"/>
      <c r="BW1010" s="322"/>
      <c r="BX1010" s="322"/>
      <c r="BY1010" s="322"/>
      <c r="BZ1010" s="322"/>
      <c r="CA1010" s="322"/>
      <c r="CB1010" s="322"/>
      <c r="CC1010" s="322"/>
      <c r="CD1010" s="322"/>
      <c r="CE1010" s="322"/>
      <c r="CF1010" s="322"/>
      <c r="CG1010" s="322"/>
      <c r="CH1010" s="322"/>
      <c r="CI1010" s="322"/>
      <c r="CJ1010" s="322"/>
      <c r="CK1010" s="322"/>
      <c r="CL1010" s="322"/>
      <c r="CM1010" s="322"/>
      <c r="CN1010" s="322"/>
      <c r="CO1010" s="322"/>
      <c r="CP1010" s="322"/>
      <c r="CQ1010" s="322"/>
      <c r="CR1010" s="322"/>
      <c r="CS1010" s="322"/>
      <c r="CT1010" s="322"/>
      <c r="CU1010" s="322"/>
      <c r="CV1010" s="322"/>
      <c r="CW1010" s="322"/>
      <c r="CX1010" s="322"/>
      <c r="CY1010" s="322"/>
      <c r="CZ1010" s="322"/>
      <c r="DA1010" s="322"/>
      <c r="DB1010" s="322"/>
      <c r="DC1010" s="322"/>
      <c r="DD1010" s="322"/>
      <c r="DE1010" s="322"/>
      <c r="DF1010" s="322"/>
      <c r="DG1010" s="322"/>
      <c r="DH1010" s="322"/>
      <c r="DI1010" s="322"/>
      <c r="DJ1010" s="322"/>
      <c r="DK1010" s="322"/>
      <c r="DL1010" s="322"/>
      <c r="DM1010" s="322"/>
      <c r="DN1010" s="322"/>
      <c r="DO1010" s="322"/>
      <c r="DP1010" s="322"/>
      <c r="DQ1010" s="322"/>
      <c r="DR1010" s="322"/>
      <c r="DS1010" s="322"/>
      <c r="DT1010" s="322"/>
      <c r="DU1010" s="322"/>
      <c r="DV1010" s="322"/>
      <c r="DW1010" s="322"/>
      <c r="DX1010" s="322"/>
      <c r="DY1010" s="322"/>
      <c r="DZ1010" s="322"/>
      <c r="EA1010" s="322"/>
      <c r="EB1010" s="322"/>
      <c r="EC1010" s="322"/>
      <c r="ED1010" s="322"/>
      <c r="EE1010" s="322"/>
      <c r="EF1010" s="322"/>
      <c r="EG1010" s="322"/>
      <c r="EH1010" s="322"/>
      <c r="EI1010" s="322"/>
      <c r="EJ1010" s="322"/>
      <c r="EK1010" s="322"/>
      <c r="EL1010" s="322"/>
      <c r="EM1010" s="322"/>
      <c r="EN1010" s="322"/>
      <c r="EO1010" s="322"/>
      <c r="EP1010" s="322"/>
      <c r="EQ1010" s="322"/>
      <c r="ER1010" s="322"/>
      <c r="ES1010" s="322"/>
      <c r="ET1010" s="322"/>
      <c r="EU1010" s="322"/>
      <c r="EV1010" s="322"/>
      <c r="EW1010" s="322"/>
      <c r="EX1010" s="322"/>
      <c r="EY1010" s="322"/>
      <c r="EZ1010" s="322"/>
      <c r="FA1010" s="322"/>
      <c r="FB1010" s="322"/>
      <c r="FC1010" s="322"/>
      <c r="FD1010" s="322"/>
      <c r="FE1010" s="322"/>
      <c r="FF1010" s="322"/>
      <c r="FG1010" s="322"/>
      <c r="FH1010" s="322"/>
      <c r="FI1010" s="322"/>
      <c r="FJ1010" s="322"/>
      <c r="FK1010" s="322"/>
      <c r="FL1010" s="322"/>
      <c r="FM1010" s="322"/>
      <c r="FN1010" s="322"/>
      <c r="FO1010" s="322"/>
      <c r="FP1010" s="322"/>
      <c r="FQ1010" s="322"/>
      <c r="FR1010" s="322"/>
      <c r="FS1010" s="322"/>
      <c r="FT1010" s="322"/>
      <c r="FU1010" s="322"/>
      <c r="FV1010" s="322"/>
      <c r="FW1010" s="322"/>
      <c r="FX1010" s="322"/>
      <c r="FY1010" s="322"/>
      <c r="FZ1010" s="322"/>
      <c r="GA1010" s="322"/>
      <c r="GB1010" s="322"/>
      <c r="GC1010" s="322"/>
      <c r="GD1010" s="322"/>
      <c r="GE1010" s="322"/>
      <c r="GF1010" s="322"/>
      <c r="GG1010" s="322"/>
      <c r="GH1010" s="322"/>
      <c r="GI1010" s="322"/>
      <c r="GJ1010" s="322"/>
      <c r="GK1010" s="322"/>
      <c r="GL1010" s="322"/>
      <c r="GM1010" s="322"/>
      <c r="GN1010" s="322"/>
      <c r="GO1010" s="322"/>
      <c r="GP1010" s="322"/>
      <c r="GQ1010" s="322"/>
      <c r="GR1010" s="322"/>
      <c r="GS1010" s="322"/>
      <c r="GT1010" s="322"/>
      <c r="GU1010" s="322"/>
      <c r="GV1010" s="322"/>
      <c r="GW1010" s="322"/>
      <c r="GX1010" s="322"/>
      <c r="GY1010" s="322"/>
      <c r="GZ1010" s="322"/>
      <c r="HA1010" s="322"/>
      <c r="HB1010" s="322"/>
      <c r="HC1010" s="322"/>
      <c r="HD1010" s="322"/>
      <c r="HE1010" s="322"/>
      <c r="HF1010" s="322"/>
      <c r="HG1010" s="322"/>
      <c r="HH1010" s="322"/>
      <c r="HI1010" s="322"/>
      <c r="HJ1010" s="322"/>
      <c r="HK1010" s="322"/>
      <c r="HL1010" s="322"/>
      <c r="HM1010" s="322"/>
      <c r="HN1010" s="322"/>
      <c r="HO1010" s="322"/>
      <c r="HP1010" s="322"/>
      <c r="HQ1010" s="322"/>
      <c r="HR1010" s="322"/>
      <c r="HS1010" s="322"/>
      <c r="HT1010" s="322"/>
      <c r="HU1010" s="322"/>
      <c r="HV1010" s="322"/>
      <c r="HW1010" s="322"/>
      <c r="HX1010" s="322"/>
      <c r="HY1010" s="322"/>
      <c r="HZ1010" s="322"/>
      <c r="IA1010" s="322"/>
      <c r="IB1010" s="322"/>
      <c r="IC1010" s="322"/>
      <c r="ID1010" s="322"/>
      <c r="IE1010" s="322"/>
      <c r="IF1010" s="322"/>
      <c r="IG1010" s="322"/>
      <c r="IH1010" s="322"/>
      <c r="II1010" s="322"/>
      <c r="IJ1010" s="322"/>
      <c r="IK1010" s="322"/>
      <c r="IL1010" s="322"/>
      <c r="IM1010" s="322"/>
      <c r="IN1010" s="322"/>
      <c r="IO1010" s="322"/>
      <c r="IP1010" s="322"/>
      <c r="IQ1010" s="322"/>
      <c r="IR1010" s="322"/>
      <c r="IS1010" s="322"/>
      <c r="IT1010" s="322"/>
      <c r="IU1010" s="322"/>
      <c r="IV1010" s="322"/>
      <c r="IW1010" s="322"/>
      <c r="IX1010" s="322"/>
      <c r="IY1010" s="322"/>
      <c r="IZ1010" s="322"/>
      <c r="JA1010" s="322"/>
      <c r="JB1010" s="322"/>
      <c r="JC1010" s="322"/>
    </row>
  </sheetData>
  <autoFilter ref="A1:JC1" xr:uid="{86E2CC13-9BF0-47BC-8494-6EF95D701D9E}"/>
  <conditionalFormatting sqref="A201:A1048576 A1:A3 A5:A199">
    <cfRule type="duplicateValues" dxfId="1" priority="1"/>
    <cfRule type="duplicateValues" dxfId="0" priority="2"/>
  </conditionalFormatting>
  <hyperlinks>
    <hyperlink ref="G145" r:id="rId1" xr:uid="{DE1445C4-4E24-4D86-A9AB-9936D187F3B2}"/>
    <hyperlink ref="G319" r:id="rId2" xr:uid="{1FE8E16F-6680-4571-8169-F0A2CC12425A}"/>
    <hyperlink ref="G317" r:id="rId3" xr:uid="{0C5CAD4B-2BEE-44D3-BA70-8834D1A72F0C}"/>
    <hyperlink ref="G314" r:id="rId4" xr:uid="{576AB17F-2F9F-4525-9155-3E7974B4C132}"/>
    <hyperlink ref="G313" r:id="rId5" xr:uid="{704D7C4A-9AE2-44A3-B3B3-5AB21D9AC8AB}"/>
    <hyperlink ref="G312" r:id="rId6" xr:uid="{2FC0A87F-6F4D-4D0E-85FC-0A3B58559356}"/>
    <hyperlink ref="G770" r:id="rId7" xr:uid="{465A0DE5-C41D-4F6B-86D1-F0C6B8F29B31}"/>
  </hyperlinks>
  <pageMargins left="0.7" right="0.7" top="0.75" bottom="0.75" header="0.3" footer="0.3"/>
  <pageSetup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50"/>
    <pageSetUpPr fitToPage="1"/>
  </sheetPr>
  <dimension ref="A1:P59"/>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194"/>
      <c r="D1" s="194" t="s">
        <v>15</v>
      </c>
      <c r="E1" s="195">
        <v>610127</v>
      </c>
      <c r="F1" s="196"/>
      <c r="G1" s="196"/>
      <c r="H1" s="196"/>
      <c r="I1"/>
      <c r="J1"/>
      <c r="K1"/>
      <c r="L1"/>
      <c r="M1"/>
      <c r="N1"/>
      <c r="O1"/>
      <c r="P1"/>
    </row>
    <row r="2" spans="1:16" ht="21" customHeight="1" x14ac:dyDescent="0.4">
      <c r="A2" s="405" t="s">
        <v>3627</v>
      </c>
      <c r="B2" s="405"/>
      <c r="C2" s="196"/>
      <c r="D2" s="194" t="s">
        <v>16</v>
      </c>
      <c r="E2" s="195" t="str">
        <f>VLOOKUP(E1,'Sheet References'!L1:M1010,2,FALSE)</f>
        <v>Base Engineer Administration</v>
      </c>
      <c r="F2" s="196"/>
      <c r="G2" s="196"/>
      <c r="H2" s="196"/>
    </row>
    <row r="3" spans="1:16" ht="21" customHeight="1" x14ac:dyDescent="0.4">
      <c r="A3" s="405" t="s">
        <v>11</v>
      </c>
      <c r="B3" s="405"/>
      <c r="C3" s="194"/>
      <c r="D3" s="194" t="s">
        <v>17</v>
      </c>
      <c r="E3" s="195" t="str">
        <f>VLOOKUP(CATCode,'Sheet References'!L:O,4,FALSE)</f>
        <v>https://www.wbdg.org/FFC/AF/AFMAN/610127_Base_Engineer_Admin.pdf</v>
      </c>
      <c r="F3" s="196"/>
      <c r="G3" s="196"/>
      <c r="H3" s="196"/>
    </row>
    <row r="4" spans="1:16" ht="21" customHeight="1" x14ac:dyDescent="0.4">
      <c r="A4" s="405" t="s">
        <v>12</v>
      </c>
      <c r="B4" s="405"/>
      <c r="C4" s="35"/>
      <c r="D4" s="35"/>
      <c r="E4" s="197" t="str">
        <f>'Customer Summary'!A2</f>
        <v>XX Civil Engineer Squadron (XX CES)</v>
      </c>
      <c r="F4" s="35"/>
      <c r="G4" s="35"/>
      <c r="H4" s="35"/>
    </row>
    <row r="5" spans="1:16" ht="21" customHeight="1" x14ac:dyDescent="0.4">
      <c r="A5" s="406" t="str">
        <f>'Customer Summary'!B33</f>
        <v>POC: [CE unit designation (i.e. 99 CES)]</v>
      </c>
      <c r="B5" s="406"/>
      <c r="C5" s="35"/>
      <c r="D5" s="35"/>
      <c r="E5" s="197" t="s">
        <v>18</v>
      </c>
      <c r="F5" s="35"/>
      <c r="G5" s="35"/>
      <c r="H5" s="35"/>
    </row>
    <row r="6" spans="1:16" s="4" customFormat="1" ht="31.75" x14ac:dyDescent="0.4">
      <c r="A6" s="198" t="s">
        <v>20</v>
      </c>
      <c r="B6" s="198" t="s">
        <v>21</v>
      </c>
      <c r="C6" s="198" t="s">
        <v>22</v>
      </c>
      <c r="D6" s="198" t="s">
        <v>23</v>
      </c>
      <c r="E6" s="198" t="s">
        <v>24</v>
      </c>
      <c r="F6" s="198" t="s">
        <v>25</v>
      </c>
      <c r="G6" s="199" t="s">
        <v>26</v>
      </c>
      <c r="H6" s="200" t="s">
        <v>27</v>
      </c>
      <c r="I6"/>
      <c r="J6"/>
      <c r="K6"/>
      <c r="L6"/>
      <c r="M6"/>
      <c r="N6"/>
      <c r="O6"/>
      <c r="P6"/>
    </row>
    <row r="7" spans="1:16" s="4" customFormat="1" ht="29.15" x14ac:dyDescent="0.4">
      <c r="A7" s="391" t="s">
        <v>28</v>
      </c>
      <c r="B7" s="391"/>
      <c r="C7" s="391"/>
      <c r="D7" s="391"/>
      <c r="E7" s="391"/>
      <c r="F7" s="391"/>
      <c r="G7" s="391"/>
      <c r="H7" s="206" t="s">
        <v>29</v>
      </c>
      <c r="I7"/>
      <c r="J7"/>
      <c r="K7"/>
      <c r="L7"/>
      <c r="M7"/>
      <c r="N7"/>
      <c r="O7"/>
      <c r="P7"/>
    </row>
    <row r="8" spans="1:16" x14ac:dyDescent="0.4">
      <c r="A8" s="203" t="s">
        <v>30</v>
      </c>
      <c r="B8" s="207" t="s">
        <v>31</v>
      </c>
      <c r="C8" s="207" t="str">
        <f>VLOOKUP(B8,'Sheet References'!$A$14:$B$68,2,FALSE)</f>
        <v>Office Type C (Private)</v>
      </c>
      <c r="D8" s="203" t="s">
        <v>32</v>
      </c>
      <c r="E8" s="267">
        <f>VLOOKUP(C8,OfficeTypeSF22[#All],2,FALSE)</f>
        <v>140</v>
      </c>
      <c r="F8" s="203">
        <v>0</v>
      </c>
      <c r="G8" s="202">
        <f t="shared" ref="G8:G13" si="0">E8*F8</f>
        <v>0</v>
      </c>
      <c r="H8" s="190"/>
    </row>
    <row r="9" spans="1:16" x14ac:dyDescent="0.4">
      <c r="A9" s="203" t="s">
        <v>33</v>
      </c>
      <c r="B9" s="207" t="s">
        <v>34</v>
      </c>
      <c r="C9" s="207" t="str">
        <f>VLOOKUP(B9,'Sheet References'!$A$14:$B$68,2,FALSE)</f>
        <v>Office Type C (Private)</v>
      </c>
      <c r="D9" s="203" t="s">
        <v>32</v>
      </c>
      <c r="E9" s="267">
        <f>VLOOKUP(C9,OfficeTypeSF22[#All],2,FALSE)</f>
        <v>140</v>
      </c>
      <c r="F9" s="203">
        <v>0</v>
      </c>
      <c r="G9" s="202">
        <f t="shared" si="0"/>
        <v>0</v>
      </c>
      <c r="H9" s="208"/>
    </row>
    <row r="10" spans="1:16" x14ac:dyDescent="0.4">
      <c r="A10" s="203" t="s">
        <v>35</v>
      </c>
      <c r="B10" s="207" t="s">
        <v>35</v>
      </c>
      <c r="C10" s="207" t="str">
        <f>VLOOKUP(B10,'Sheet References'!$A$14:$B$68,2,FALSE)</f>
        <v>Office Type D (Private)</v>
      </c>
      <c r="D10" s="203" t="s">
        <v>32</v>
      </c>
      <c r="E10" s="267">
        <f>VLOOKUP(C10,OfficeTypeSF22[#All],2,FALSE)</f>
        <v>100</v>
      </c>
      <c r="F10" s="203">
        <v>0</v>
      </c>
      <c r="G10" s="202">
        <f t="shared" si="0"/>
        <v>0</v>
      </c>
      <c r="H10" s="208"/>
    </row>
    <row r="11" spans="1:16" x14ac:dyDescent="0.4">
      <c r="A11" s="203" t="s">
        <v>36</v>
      </c>
      <c r="B11" s="209" t="s">
        <v>5382</v>
      </c>
      <c r="C11" s="207" t="str">
        <f>VLOOKUP(B11,'Sheet References'!$A$14:$B$68,2,FALSE)</f>
        <v>Office Type D (Private)</v>
      </c>
      <c r="D11" s="203" t="s">
        <v>32</v>
      </c>
      <c r="E11" s="267">
        <f>VLOOKUP(C11,OfficeTypeSF22[#All],2,FALSE)</f>
        <v>100</v>
      </c>
      <c r="F11" s="203">
        <v>0</v>
      </c>
      <c r="G11" s="202">
        <f t="shared" si="0"/>
        <v>0</v>
      </c>
      <c r="H11" s="208"/>
    </row>
    <row r="12" spans="1:16" x14ac:dyDescent="0.4">
      <c r="A12" s="203" t="s">
        <v>37</v>
      </c>
      <c r="B12" s="207" t="s">
        <v>38</v>
      </c>
      <c r="C12" s="207" t="str">
        <f>VLOOKUP(B12,'Sheet References'!$A$14:$B$68,2,FALSE)</f>
        <v>Office Type D (Private)</v>
      </c>
      <c r="D12" s="203" t="s">
        <v>32</v>
      </c>
      <c r="E12" s="267">
        <f>VLOOKUP(C12,OfficeTypeSF22[#All],2,FALSE)</f>
        <v>100</v>
      </c>
      <c r="F12" s="203">
        <v>0</v>
      </c>
      <c r="G12" s="202">
        <f t="shared" si="0"/>
        <v>0</v>
      </c>
      <c r="H12" s="210" t="s">
        <v>39</v>
      </c>
    </row>
    <row r="13" spans="1:16" x14ac:dyDescent="0.4">
      <c r="A13" s="203" t="s">
        <v>40</v>
      </c>
      <c r="B13" s="207" t="s">
        <v>38</v>
      </c>
      <c r="C13" s="207" t="str">
        <f>VLOOKUP(B13,'Sheet References'!$A$14:$B$68,2,FALSE)</f>
        <v>Office Type D (Private)</v>
      </c>
      <c r="D13" s="203" t="s">
        <v>32</v>
      </c>
      <c r="E13" s="267">
        <f>VLOOKUP(C13,OfficeTypeSF22[#All],2,FALSE)</f>
        <v>100</v>
      </c>
      <c r="F13" s="203">
        <v>0</v>
      </c>
      <c r="G13" s="202">
        <f t="shared" si="0"/>
        <v>0</v>
      </c>
      <c r="H13" s="208" t="s">
        <v>3654</v>
      </c>
    </row>
    <row r="14" spans="1:16" x14ac:dyDescent="0.4">
      <c r="A14" s="394" t="s">
        <v>41</v>
      </c>
      <c r="B14" s="395"/>
      <c r="C14" s="395"/>
      <c r="D14" s="395"/>
      <c r="E14" s="211" t="s">
        <v>42</v>
      </c>
      <c r="F14" s="204">
        <f>SUM(F8:F13)</f>
        <v>0</v>
      </c>
      <c r="G14" s="212">
        <f>SUM(G8:G13)</f>
        <v>0</v>
      </c>
      <c r="H14" s="208"/>
    </row>
    <row r="15" spans="1:16" ht="14.5" customHeight="1" x14ac:dyDescent="0.4">
      <c r="A15" s="393" t="s">
        <v>43</v>
      </c>
      <c r="B15" s="392"/>
      <c r="C15" s="392"/>
      <c r="D15" s="392"/>
      <c r="E15" s="213">
        <v>0.4</v>
      </c>
      <c r="F15" s="203"/>
      <c r="G15" s="202">
        <f>G14*E15</f>
        <v>0</v>
      </c>
      <c r="H15" s="190" t="s">
        <v>44</v>
      </c>
    </row>
    <row r="16" spans="1:16" x14ac:dyDescent="0.4">
      <c r="A16" s="394" t="s">
        <v>45</v>
      </c>
      <c r="B16" s="395"/>
      <c r="C16" s="395"/>
      <c r="D16" s="395"/>
      <c r="E16" s="211" t="s">
        <v>42</v>
      </c>
      <c r="F16" s="211"/>
      <c r="G16" s="205">
        <f>G15+G14</f>
        <v>0</v>
      </c>
      <c r="H16" s="208"/>
    </row>
    <row r="17" spans="1:16" x14ac:dyDescent="0.4">
      <c r="A17" s="401"/>
      <c r="B17" s="402"/>
      <c r="C17" s="402"/>
      <c r="D17" s="402"/>
      <c r="E17" s="402"/>
      <c r="F17" s="402"/>
      <c r="G17" s="402"/>
      <c r="H17" s="403"/>
    </row>
    <row r="18" spans="1:16" s="22" customFormat="1" ht="15.9" x14ac:dyDescent="0.4">
      <c r="A18" s="396" t="s">
        <v>46</v>
      </c>
      <c r="B18" s="396"/>
      <c r="C18" s="396"/>
      <c r="D18" s="396"/>
      <c r="E18" s="396"/>
      <c r="F18" s="396"/>
      <c r="G18" s="396"/>
      <c r="H18" s="396"/>
      <c r="I18"/>
      <c r="J18"/>
      <c r="K18"/>
      <c r="L18"/>
      <c r="M18"/>
      <c r="N18"/>
      <c r="O18"/>
      <c r="P18"/>
    </row>
    <row r="19" spans="1:16" s="22" customFormat="1" ht="29.15" x14ac:dyDescent="0.4">
      <c r="A19" s="237" t="s">
        <v>3659</v>
      </c>
      <c r="B19" s="238" t="s">
        <v>47</v>
      </c>
      <c r="C19" s="239" t="str">
        <f>VLOOKUP(B19,OpenOffices25[#All],2,FALSE)</f>
        <v>Office Type E (Open)</v>
      </c>
      <c r="D19" s="237" t="s">
        <v>32</v>
      </c>
      <c r="E19" s="267">
        <f>VLOOKUP(C19,OfficeTypeSF22[#All],2,FALSE)</f>
        <v>65</v>
      </c>
      <c r="F19" s="237">
        <v>0</v>
      </c>
      <c r="G19" s="240">
        <f t="shared" ref="G19:G25" si="1">E19*F19</f>
        <v>0</v>
      </c>
      <c r="H19" s="241" t="s">
        <v>48</v>
      </c>
      <c r="I19"/>
      <c r="J19"/>
      <c r="K19"/>
      <c r="L19"/>
      <c r="M19"/>
      <c r="N19"/>
      <c r="O19"/>
      <c r="P19"/>
    </row>
    <row r="20" spans="1:16" s="22" customFormat="1" x14ac:dyDescent="0.4">
      <c r="A20" s="237" t="s">
        <v>3608</v>
      </c>
      <c r="B20" s="238" t="s">
        <v>49</v>
      </c>
      <c r="C20" s="239" t="str">
        <f>VLOOKUP(B20,OpenOffices25[#All],2,FALSE)</f>
        <v>Office Type E (Open)</v>
      </c>
      <c r="D20" s="237" t="s">
        <v>32</v>
      </c>
      <c r="E20" s="267">
        <f>VLOOKUP(C20,OfficeTypeSF22[#All],2,FALSE)</f>
        <v>65</v>
      </c>
      <c r="F20" s="237">
        <v>0</v>
      </c>
      <c r="G20" s="240">
        <f t="shared" si="1"/>
        <v>0</v>
      </c>
      <c r="H20" s="241" t="s">
        <v>3609</v>
      </c>
      <c r="I20"/>
      <c r="J20"/>
      <c r="K20"/>
      <c r="L20"/>
      <c r="M20"/>
      <c r="N20"/>
      <c r="O20"/>
      <c r="P20"/>
    </row>
    <row r="21" spans="1:16" s="22" customFormat="1" x14ac:dyDescent="0.4">
      <c r="A21" s="237" t="s">
        <v>50</v>
      </c>
      <c r="B21" s="238" t="s">
        <v>51</v>
      </c>
      <c r="C21" s="239" t="str">
        <f>VLOOKUP(B21,OpenOffices25[#All],2,FALSE)</f>
        <v>Office Type E (Open)</v>
      </c>
      <c r="D21" s="237" t="s">
        <v>32</v>
      </c>
      <c r="E21" s="267">
        <f>VLOOKUP(C21,OfficeTypeSF22[#All],2,FALSE)</f>
        <v>65</v>
      </c>
      <c r="F21" s="237">
        <v>0</v>
      </c>
      <c r="G21" s="240">
        <f t="shared" si="1"/>
        <v>0</v>
      </c>
      <c r="H21" s="241" t="s">
        <v>3660</v>
      </c>
      <c r="I21"/>
      <c r="J21"/>
      <c r="K21"/>
      <c r="L21"/>
      <c r="M21"/>
      <c r="N21"/>
      <c r="O21"/>
      <c r="P21"/>
    </row>
    <row r="22" spans="1:16" s="22" customFormat="1" x14ac:dyDescent="0.4">
      <c r="A22" s="237" t="s">
        <v>3658</v>
      </c>
      <c r="B22" s="238" t="s">
        <v>52</v>
      </c>
      <c r="C22" s="239" t="str">
        <f>VLOOKUP(B22,OpenOffices25[#All],2,FALSE)</f>
        <v>Office Type E (Open)</v>
      </c>
      <c r="D22" s="237" t="s">
        <v>32</v>
      </c>
      <c r="E22" s="267">
        <f>VLOOKUP(C22,OfficeTypeSF22[#All],2,FALSE)</f>
        <v>65</v>
      </c>
      <c r="F22" s="237">
        <v>0</v>
      </c>
      <c r="G22" s="240">
        <f t="shared" si="1"/>
        <v>0</v>
      </c>
      <c r="H22" s="242"/>
      <c r="I22"/>
      <c r="J22"/>
      <c r="K22"/>
      <c r="L22"/>
      <c r="M22"/>
      <c r="N22"/>
      <c r="O22"/>
      <c r="P22"/>
    </row>
    <row r="23" spans="1:16" s="22" customFormat="1" x14ac:dyDescent="0.4">
      <c r="A23" s="237" t="s">
        <v>53</v>
      </c>
      <c r="B23" s="238" t="s">
        <v>54</v>
      </c>
      <c r="C23" s="239" t="str">
        <f>VLOOKUP(B23,OpenOffices25[#All],2,FALSE)</f>
        <v>Office Type F (Open)</v>
      </c>
      <c r="D23" s="237" t="s">
        <v>32</v>
      </c>
      <c r="E23" s="267">
        <f>VLOOKUP(C23,OfficeTypeSF22[#All],2,FALSE)</f>
        <v>36</v>
      </c>
      <c r="F23" s="237">
        <v>0</v>
      </c>
      <c r="G23" s="240">
        <f t="shared" ref="G23" si="2">E23*F23</f>
        <v>0</v>
      </c>
      <c r="H23" s="241" t="s">
        <v>3610</v>
      </c>
      <c r="I23"/>
      <c r="J23"/>
      <c r="K23"/>
      <c r="L23"/>
      <c r="M23"/>
      <c r="N23"/>
      <c r="O23"/>
      <c r="P23"/>
    </row>
    <row r="24" spans="1:16" s="22" customFormat="1" x14ac:dyDescent="0.4">
      <c r="A24" s="237" t="s">
        <v>53</v>
      </c>
      <c r="B24" s="238" t="s">
        <v>54</v>
      </c>
      <c r="C24" s="239" t="str">
        <f>VLOOKUP(B24,OpenOffices25[#All],2,FALSE)</f>
        <v>Office Type F (Open)</v>
      </c>
      <c r="D24" s="237" t="s">
        <v>32</v>
      </c>
      <c r="E24" s="267">
        <f>VLOOKUP(C24,OfficeTypeSF22[#All],2,FALSE)</f>
        <v>36</v>
      </c>
      <c r="F24" s="237">
        <v>0</v>
      </c>
      <c r="G24" s="240">
        <f t="shared" si="1"/>
        <v>0</v>
      </c>
      <c r="H24" s="241" t="s">
        <v>55</v>
      </c>
      <c r="I24"/>
      <c r="J24"/>
      <c r="K24"/>
      <c r="L24"/>
      <c r="M24"/>
      <c r="N24"/>
      <c r="O24"/>
      <c r="P24"/>
    </row>
    <row r="25" spans="1:16" s="22" customFormat="1" x14ac:dyDescent="0.4">
      <c r="A25" s="237" t="s">
        <v>56</v>
      </c>
      <c r="B25" s="238" t="s">
        <v>57</v>
      </c>
      <c r="C25" s="239" t="str">
        <f>VLOOKUP(B25,OpenOffices25[#All],2,FALSE)</f>
        <v>Office Type H (Open)</v>
      </c>
      <c r="D25" s="237" t="s">
        <v>32</v>
      </c>
      <c r="E25" s="267">
        <f>VLOOKUP(C25,OfficeTypeSF22[#All],2,FALSE)</f>
        <v>20</v>
      </c>
      <c r="F25" s="237">
        <v>0</v>
      </c>
      <c r="G25" s="240">
        <f t="shared" si="1"/>
        <v>0</v>
      </c>
      <c r="H25" s="241" t="s">
        <v>68</v>
      </c>
      <c r="I25"/>
      <c r="J25"/>
      <c r="K25"/>
      <c r="L25"/>
      <c r="M25"/>
      <c r="N25"/>
      <c r="O25"/>
      <c r="P25"/>
    </row>
    <row r="26" spans="1:16" s="22" customFormat="1" x14ac:dyDescent="0.4">
      <c r="A26" s="397" t="s">
        <v>58</v>
      </c>
      <c r="B26" s="398"/>
      <c r="C26" s="398"/>
      <c r="D26" s="398"/>
      <c r="E26" s="243" t="s">
        <v>42</v>
      </c>
      <c r="F26" s="204">
        <f>SUM(F19:F25)</f>
        <v>0</v>
      </c>
      <c r="G26" s="244">
        <f>SUM(G19:G25)</f>
        <v>0</v>
      </c>
      <c r="H26" s="242"/>
      <c r="I26"/>
      <c r="J26"/>
      <c r="K26"/>
      <c r="L26"/>
      <c r="M26"/>
      <c r="N26"/>
      <c r="O26"/>
      <c r="P26"/>
    </row>
    <row r="27" spans="1:16" s="22" customFormat="1" ht="14.5" customHeight="1" x14ac:dyDescent="0.4">
      <c r="A27" s="399" t="s">
        <v>59</v>
      </c>
      <c r="B27" s="400"/>
      <c r="C27" s="400"/>
      <c r="D27" s="400"/>
      <c r="E27" s="245">
        <v>0.6</v>
      </c>
      <c r="F27" s="237"/>
      <c r="G27" s="246">
        <f>G26*E27</f>
        <v>0</v>
      </c>
      <c r="H27" s="242" t="s">
        <v>44</v>
      </c>
      <c r="I27"/>
      <c r="J27"/>
      <c r="K27"/>
      <c r="L27"/>
      <c r="M27"/>
      <c r="N27"/>
      <c r="O27"/>
      <c r="P27"/>
    </row>
    <row r="28" spans="1:16" s="23" customFormat="1" ht="15.9" x14ac:dyDescent="0.4">
      <c r="A28" s="397" t="s">
        <v>60</v>
      </c>
      <c r="B28" s="398"/>
      <c r="C28" s="398"/>
      <c r="D28" s="398"/>
      <c r="E28" s="243" t="s">
        <v>42</v>
      </c>
      <c r="F28" s="243"/>
      <c r="G28" s="244">
        <f>G27+G26</f>
        <v>0</v>
      </c>
      <c r="H28" s="247"/>
      <c r="I28"/>
      <c r="J28"/>
      <c r="K28"/>
      <c r="L28"/>
      <c r="M28"/>
      <c r="N28"/>
      <c r="O28"/>
      <c r="P28"/>
    </row>
    <row r="29" spans="1:16" x14ac:dyDescent="0.4">
      <c r="A29" s="401"/>
      <c r="B29" s="402"/>
      <c r="C29" s="402"/>
      <c r="D29" s="402"/>
      <c r="E29" s="402"/>
      <c r="F29" s="402"/>
      <c r="G29" s="402"/>
      <c r="H29" s="403"/>
    </row>
    <row r="30" spans="1:16" s="4" customFormat="1" ht="15.9" x14ac:dyDescent="0.4">
      <c r="A30" s="391" t="s">
        <v>61</v>
      </c>
      <c r="B30" s="391"/>
      <c r="C30" s="391"/>
      <c r="D30" s="391"/>
      <c r="E30" s="391"/>
      <c r="F30" s="391"/>
      <c r="G30" s="391"/>
      <c r="H30" s="391"/>
      <c r="I30"/>
      <c r="J30"/>
      <c r="K30"/>
      <c r="L30"/>
      <c r="M30"/>
      <c r="N30"/>
      <c r="O30"/>
      <c r="P30"/>
    </row>
    <row r="31" spans="1:16" s="4" customFormat="1" ht="58.3" x14ac:dyDescent="0.4">
      <c r="A31" s="392" t="s">
        <v>62</v>
      </c>
      <c r="B31" s="392"/>
      <c r="C31" s="392"/>
      <c r="D31" s="392"/>
      <c r="E31" s="202">
        <f>VLOOKUP(A31,AdminSpecialPurpose26[#All],2,FALSE)</f>
        <v>8</v>
      </c>
      <c r="F31" s="248">
        <f>F14+F26</f>
        <v>0</v>
      </c>
      <c r="G31" s="202">
        <f>E31*F31</f>
        <v>0</v>
      </c>
      <c r="H31" s="190" t="s">
        <v>63</v>
      </c>
      <c r="I31"/>
      <c r="J31"/>
      <c r="K31"/>
      <c r="L31"/>
      <c r="M31"/>
      <c r="N31"/>
      <c r="O31"/>
      <c r="P31"/>
    </row>
    <row r="32" spans="1:16" s="4" customFormat="1" ht="43.75" x14ac:dyDescent="0.4">
      <c r="A32" s="392" t="s">
        <v>5341</v>
      </c>
      <c r="B32" s="392"/>
      <c r="C32" s="392"/>
      <c r="D32" s="392"/>
      <c r="E32" s="202" t="str">
        <f>VLOOKUP(A32,AdminSpecialPurpose26[#All],2,TRUE)</f>
        <v>(auto-populates)</v>
      </c>
      <c r="F32" s="248">
        <f>F14+F26</f>
        <v>0</v>
      </c>
      <c r="G32" s="202">
        <f>VLOOKUP(F32,MeetingSpace24[#All],6,TRUE)</f>
        <v>0</v>
      </c>
      <c r="H32" s="190" t="s">
        <v>64</v>
      </c>
      <c r="I32"/>
      <c r="J32"/>
      <c r="K32"/>
      <c r="L32"/>
      <c r="M32"/>
      <c r="N32"/>
      <c r="O32"/>
      <c r="P32"/>
    </row>
    <row r="33" spans="1:16" s="4" customFormat="1" ht="29.15" x14ac:dyDescent="0.4">
      <c r="A33" s="392" t="s">
        <v>65</v>
      </c>
      <c r="B33" s="395"/>
      <c r="C33" s="395"/>
      <c r="D33" s="395"/>
      <c r="E33" s="202">
        <f>VLOOKUP(A33,AdminSpecialPurpose26[#All],2,TRUE)</f>
        <v>3</v>
      </c>
      <c r="F33" s="249">
        <f>(F14+F26)</f>
        <v>0</v>
      </c>
      <c r="G33" s="202">
        <f>MAX(E33*F33,50)</f>
        <v>50</v>
      </c>
      <c r="H33" s="190" t="s">
        <v>66</v>
      </c>
      <c r="I33"/>
      <c r="J33"/>
      <c r="K33"/>
      <c r="L33"/>
      <c r="M33"/>
      <c r="N33"/>
      <c r="O33"/>
      <c r="P33"/>
    </row>
    <row r="34" spans="1:16" x14ac:dyDescent="0.4">
      <c r="A34" s="392" t="s">
        <v>67</v>
      </c>
      <c r="B34" s="395"/>
      <c r="C34" s="395"/>
      <c r="D34" s="395"/>
      <c r="E34" s="202" t="str">
        <f>VLOOKUP(A34,AdminSpecialPurpose26[#All],2,TRUE)</f>
        <v>UJ</v>
      </c>
      <c r="F34" s="249">
        <v>0</v>
      </c>
      <c r="G34" s="202">
        <f t="shared" ref="G34:G39" si="3">IFERROR(E34*F34,0)</f>
        <v>0</v>
      </c>
      <c r="H34" s="250" t="s">
        <v>68</v>
      </c>
    </row>
    <row r="35" spans="1:16" x14ac:dyDescent="0.4">
      <c r="A35" s="392" t="s">
        <v>69</v>
      </c>
      <c r="B35" s="395"/>
      <c r="C35" s="395"/>
      <c r="D35" s="395"/>
      <c r="E35" s="202">
        <f>VLOOKUP(A35,AdminSpecialPurpose26[#All],2,TRUE)</f>
        <v>20</v>
      </c>
      <c r="F35" s="249">
        <v>0</v>
      </c>
      <c r="G35" s="202">
        <f t="shared" si="3"/>
        <v>0</v>
      </c>
      <c r="H35" s="250" t="s">
        <v>3650</v>
      </c>
    </row>
    <row r="36" spans="1:16" x14ac:dyDescent="0.4">
      <c r="A36" s="392" t="s">
        <v>70</v>
      </c>
      <c r="B36" s="395"/>
      <c r="C36" s="395"/>
      <c r="D36" s="395"/>
      <c r="E36" s="202">
        <f>VLOOKUP(A36,AdminSpecialPurpose26[#All],2,TRUE)</f>
        <v>60</v>
      </c>
      <c r="F36" s="249">
        <v>0</v>
      </c>
      <c r="G36" s="202">
        <f t="shared" si="3"/>
        <v>0</v>
      </c>
      <c r="H36" s="250" t="s">
        <v>71</v>
      </c>
    </row>
    <row r="37" spans="1:16" x14ac:dyDescent="0.4">
      <c r="A37" s="392" t="s">
        <v>72</v>
      </c>
      <c r="B37" s="395"/>
      <c r="C37" s="395"/>
      <c r="D37" s="395"/>
      <c r="E37" s="202">
        <f>VLOOKUP(A37,AdminSpecialPurpose26[#All],2,TRUE)</f>
        <v>4</v>
      </c>
      <c r="F37" s="249">
        <v>0</v>
      </c>
      <c r="G37" s="202">
        <f t="shared" si="3"/>
        <v>0</v>
      </c>
      <c r="H37" s="250" t="s">
        <v>68</v>
      </c>
    </row>
    <row r="38" spans="1:16" ht="43.75" x14ac:dyDescent="0.4">
      <c r="A38" s="392" t="s">
        <v>73</v>
      </c>
      <c r="B38" s="395"/>
      <c r="C38" s="395"/>
      <c r="D38" s="395"/>
      <c r="E38" s="202">
        <f>VLOOKUP(A38,AdminSpecialPurpose26[#All],2,TRUE)</f>
        <v>30</v>
      </c>
      <c r="F38" s="249">
        <v>0</v>
      </c>
      <c r="G38" s="202">
        <f t="shared" si="3"/>
        <v>0</v>
      </c>
      <c r="H38" s="250" t="s">
        <v>3656</v>
      </c>
    </row>
    <row r="39" spans="1:16" ht="72.900000000000006" x14ac:dyDescent="0.4">
      <c r="A39" s="392" t="s">
        <v>74</v>
      </c>
      <c r="B39" s="395"/>
      <c r="C39" s="395"/>
      <c r="D39" s="395"/>
      <c r="E39" s="202">
        <f>VLOOKUP(A39,AdminSpecialPurpose26[#All],2,TRUE)</f>
        <v>35</v>
      </c>
      <c r="F39" s="249">
        <v>4</v>
      </c>
      <c r="G39" s="202">
        <f t="shared" si="3"/>
        <v>140</v>
      </c>
      <c r="H39" s="250" t="s">
        <v>75</v>
      </c>
    </row>
    <row r="40" spans="1:16" x14ac:dyDescent="0.4">
      <c r="A40" s="394" t="s">
        <v>76</v>
      </c>
      <c r="B40" s="394"/>
      <c r="C40" s="394"/>
      <c r="D40" s="394"/>
      <c r="E40" s="204" t="s">
        <v>42</v>
      </c>
      <c r="F40" s="251"/>
      <c r="G40" s="205">
        <f>SUM(G31:G39)</f>
        <v>190</v>
      </c>
      <c r="H40" s="190"/>
    </row>
    <row r="41" spans="1:16" x14ac:dyDescent="0.4">
      <c r="A41" s="407" t="s">
        <v>77</v>
      </c>
      <c r="B41" s="408"/>
      <c r="C41" s="408"/>
      <c r="D41" s="408"/>
      <c r="E41" s="213">
        <v>0.4</v>
      </c>
      <c r="F41" s="203"/>
      <c r="G41" s="252">
        <f>E41*G40</f>
        <v>76</v>
      </c>
      <c r="H41" s="190" t="s">
        <v>44</v>
      </c>
    </row>
    <row r="42" spans="1:16" x14ac:dyDescent="0.4">
      <c r="A42" s="394" t="s">
        <v>78</v>
      </c>
      <c r="B42" s="395"/>
      <c r="C42" s="395"/>
      <c r="D42" s="395"/>
      <c r="E42" s="211" t="s">
        <v>42</v>
      </c>
      <c r="F42" s="253"/>
      <c r="G42" s="205">
        <f>SUM(G40:G41)</f>
        <v>266</v>
      </c>
      <c r="H42" s="190"/>
    </row>
    <row r="43" spans="1:16" x14ac:dyDescent="0.4">
      <c r="A43" s="395"/>
      <c r="B43" s="395"/>
      <c r="C43" s="395"/>
      <c r="D43" s="395"/>
      <c r="E43" s="395"/>
      <c r="F43" s="395"/>
      <c r="G43" s="395"/>
      <c r="H43" s="395"/>
    </row>
    <row r="44" spans="1:16" s="4" customFormat="1" ht="15.9" x14ac:dyDescent="0.4">
      <c r="A44" s="391" t="s">
        <v>79</v>
      </c>
      <c r="B44" s="409"/>
      <c r="C44" s="409"/>
      <c r="D44" s="409"/>
      <c r="E44" s="409"/>
      <c r="F44" s="409"/>
      <c r="G44" s="409"/>
      <c r="H44" s="409"/>
      <c r="I44"/>
      <c r="J44"/>
      <c r="K44"/>
      <c r="L44"/>
      <c r="M44"/>
      <c r="N44"/>
      <c r="O44"/>
      <c r="P44"/>
    </row>
    <row r="45" spans="1:16" x14ac:dyDescent="0.4">
      <c r="A45" s="392" t="s">
        <v>80</v>
      </c>
      <c r="B45" s="395"/>
      <c r="C45" s="395"/>
      <c r="D45" s="395"/>
      <c r="E45" s="203"/>
      <c r="F45" s="254">
        <v>1</v>
      </c>
      <c r="G45" s="202">
        <f t="shared" ref="G45:G51" si="4">E45*F45</f>
        <v>0</v>
      </c>
      <c r="H45" s="250" t="s">
        <v>83</v>
      </c>
    </row>
    <row r="46" spans="1:16" x14ac:dyDescent="0.4">
      <c r="A46" s="392" t="s">
        <v>81</v>
      </c>
      <c r="B46" s="395"/>
      <c r="C46" s="395"/>
      <c r="D46" s="395"/>
      <c r="E46" s="203">
        <v>36</v>
      </c>
      <c r="F46" s="254">
        <v>1</v>
      </c>
      <c r="G46" s="202">
        <f t="shared" si="4"/>
        <v>36</v>
      </c>
      <c r="H46" s="250" t="s">
        <v>3646</v>
      </c>
    </row>
    <row r="47" spans="1:16" x14ac:dyDescent="0.4">
      <c r="A47" s="392" t="s">
        <v>82</v>
      </c>
      <c r="B47" s="395"/>
      <c r="C47" s="395"/>
      <c r="D47" s="395"/>
      <c r="E47" s="203"/>
      <c r="F47" s="254">
        <v>1</v>
      </c>
      <c r="G47" s="202">
        <f t="shared" si="4"/>
        <v>0</v>
      </c>
      <c r="H47" s="250" t="s">
        <v>83</v>
      </c>
    </row>
    <row r="48" spans="1:16" x14ac:dyDescent="0.4">
      <c r="A48" s="392" t="s">
        <v>84</v>
      </c>
      <c r="B48" s="395"/>
      <c r="C48" s="395"/>
      <c r="D48" s="395"/>
      <c r="E48" s="203">
        <v>80</v>
      </c>
      <c r="F48" s="254">
        <v>1</v>
      </c>
      <c r="G48" s="202">
        <f t="shared" si="4"/>
        <v>80</v>
      </c>
      <c r="H48" s="250" t="s">
        <v>83</v>
      </c>
    </row>
    <row r="49" spans="1:16" x14ac:dyDescent="0.4">
      <c r="A49" s="392" t="s">
        <v>85</v>
      </c>
      <c r="B49" s="395"/>
      <c r="C49" s="395"/>
      <c r="D49" s="395"/>
      <c r="E49" s="203">
        <v>20</v>
      </c>
      <c r="F49" s="254">
        <v>0</v>
      </c>
      <c r="G49" s="202">
        <f t="shared" si="4"/>
        <v>0</v>
      </c>
      <c r="H49" s="210" t="s">
        <v>86</v>
      </c>
    </row>
    <row r="50" spans="1:16" x14ac:dyDescent="0.4">
      <c r="A50" s="392" t="s">
        <v>87</v>
      </c>
      <c r="B50" s="395"/>
      <c r="C50" s="395"/>
      <c r="D50" s="395"/>
      <c r="E50" s="203"/>
      <c r="F50" s="254">
        <v>1</v>
      </c>
      <c r="G50" s="202">
        <f t="shared" si="4"/>
        <v>0</v>
      </c>
      <c r="H50" s="250" t="s">
        <v>88</v>
      </c>
    </row>
    <row r="51" spans="1:16" x14ac:dyDescent="0.4">
      <c r="A51" s="392" t="s">
        <v>89</v>
      </c>
      <c r="B51" s="395"/>
      <c r="C51" s="395"/>
      <c r="D51" s="395"/>
      <c r="E51" s="203"/>
      <c r="F51" s="254">
        <v>1</v>
      </c>
      <c r="G51" s="202">
        <f t="shared" si="4"/>
        <v>0</v>
      </c>
      <c r="H51" s="210" t="s">
        <v>88</v>
      </c>
    </row>
    <row r="52" spans="1:16" x14ac:dyDescent="0.4">
      <c r="A52" s="394" t="s">
        <v>90</v>
      </c>
      <c r="B52" s="394"/>
      <c r="C52" s="394"/>
      <c r="D52" s="394"/>
      <c r="E52" s="204" t="s">
        <v>42</v>
      </c>
      <c r="F52" s="251"/>
      <c r="G52" s="205">
        <f>SUM(G45:G51)</f>
        <v>116</v>
      </c>
      <c r="H52" s="190"/>
    </row>
    <row r="53" spans="1:16" x14ac:dyDescent="0.4">
      <c r="A53" s="407" t="s">
        <v>91</v>
      </c>
      <c r="B53" s="408"/>
      <c r="C53" s="408"/>
      <c r="D53" s="408"/>
      <c r="E53" s="213">
        <v>0.4</v>
      </c>
      <c r="F53" s="203"/>
      <c r="G53" s="252">
        <f>E53*G52</f>
        <v>46.400000000000006</v>
      </c>
      <c r="H53" s="190" t="s">
        <v>44</v>
      </c>
    </row>
    <row r="54" spans="1:16" x14ac:dyDescent="0.4">
      <c r="A54" s="394" t="s">
        <v>92</v>
      </c>
      <c r="B54" s="395"/>
      <c r="C54" s="395"/>
      <c r="D54" s="395"/>
      <c r="E54" s="211" t="s">
        <v>42</v>
      </c>
      <c r="F54" s="253"/>
      <c r="G54" s="205">
        <f>SUM(G52:G53)</f>
        <v>162.4</v>
      </c>
      <c r="H54" s="190"/>
    </row>
    <row r="55" spans="1:16" x14ac:dyDescent="0.4">
      <c r="A55" s="395"/>
      <c r="B55" s="395"/>
      <c r="C55" s="395"/>
      <c r="D55" s="395"/>
      <c r="E55" s="395"/>
      <c r="F55" s="395"/>
      <c r="G55" s="395"/>
      <c r="H55" s="395"/>
    </row>
    <row r="56" spans="1:16" s="4" customFormat="1" ht="15.9" x14ac:dyDescent="0.4">
      <c r="A56" s="391" t="s">
        <v>93</v>
      </c>
      <c r="B56" s="409"/>
      <c r="C56" s="409"/>
      <c r="D56" s="409"/>
      <c r="E56" s="409"/>
      <c r="F56" s="409"/>
      <c r="G56" s="409"/>
      <c r="H56" s="409"/>
      <c r="I56"/>
      <c r="J56"/>
      <c r="K56"/>
      <c r="L56"/>
      <c r="M56"/>
      <c r="N56"/>
      <c r="O56"/>
      <c r="P56"/>
    </row>
    <row r="57" spans="1:16" x14ac:dyDescent="0.4">
      <c r="A57" s="393" t="s">
        <v>94</v>
      </c>
      <c r="B57" s="395"/>
      <c r="C57" s="395"/>
      <c r="D57" s="395"/>
      <c r="E57" s="255" t="s">
        <v>95</v>
      </c>
      <c r="F57" s="256"/>
      <c r="G57" s="252">
        <f>G54+G42+G16+G28</f>
        <v>428.4</v>
      </c>
      <c r="H57" s="208"/>
    </row>
    <row r="58" spans="1:16" ht="14.5" customHeight="1" x14ac:dyDescent="0.4">
      <c r="A58" s="393" t="s">
        <v>96</v>
      </c>
      <c r="B58" s="392"/>
      <c r="C58" s="392"/>
      <c r="D58" s="392"/>
      <c r="E58" s="213">
        <v>0.42</v>
      </c>
      <c r="F58" s="207"/>
      <c r="G58" s="202">
        <f>G57*E58</f>
        <v>179.928</v>
      </c>
      <c r="H58" s="190" t="s">
        <v>97</v>
      </c>
    </row>
    <row r="59" spans="1:16" x14ac:dyDescent="0.4">
      <c r="E59" s="204" t="s">
        <v>98</v>
      </c>
      <c r="F59" s="257"/>
      <c r="G59" s="205">
        <f>SUM(G57:G58)</f>
        <v>608.32799999999997</v>
      </c>
    </row>
  </sheetData>
  <mergeCells count="44">
    <mergeCell ref="A46:D46"/>
    <mergeCell ref="A47:D47"/>
    <mergeCell ref="A34:D34"/>
    <mergeCell ref="A37:D37"/>
    <mergeCell ref="A38:D38"/>
    <mergeCell ref="A35:D35"/>
    <mergeCell ref="A36:D36"/>
    <mergeCell ref="A40:D40"/>
    <mergeCell ref="A41:D41"/>
    <mergeCell ref="A42:D42"/>
    <mergeCell ref="A33:D33"/>
    <mergeCell ref="A57:D57"/>
    <mergeCell ref="A58:D58"/>
    <mergeCell ref="A55:H55"/>
    <mergeCell ref="A49:D49"/>
    <mergeCell ref="A52:D52"/>
    <mergeCell ref="A53:D53"/>
    <mergeCell ref="A54:D54"/>
    <mergeCell ref="A50:D50"/>
    <mergeCell ref="A51:D51"/>
    <mergeCell ref="A56:H56"/>
    <mergeCell ref="A45:D45"/>
    <mergeCell ref="A48:D48"/>
    <mergeCell ref="A43:H43"/>
    <mergeCell ref="A44:H44"/>
    <mergeCell ref="A39:D39"/>
    <mergeCell ref="A1:B1"/>
    <mergeCell ref="A2:B2"/>
    <mergeCell ref="A3:B3"/>
    <mergeCell ref="A4:B4"/>
    <mergeCell ref="A5:B5"/>
    <mergeCell ref="A7:G7"/>
    <mergeCell ref="A32:D32"/>
    <mergeCell ref="A15:D15"/>
    <mergeCell ref="A16:D16"/>
    <mergeCell ref="A18:H18"/>
    <mergeCell ref="A30:H30"/>
    <mergeCell ref="A14:D14"/>
    <mergeCell ref="A26:D26"/>
    <mergeCell ref="A27:D27"/>
    <mergeCell ref="A28:D28"/>
    <mergeCell ref="A17:H17"/>
    <mergeCell ref="A29:H29"/>
    <mergeCell ref="A31:D31"/>
  </mergeCells>
  <dataValidations count="1">
    <dataValidation allowBlank="1" showErrorMessage="1" promptTitle="SF Authorized" prompt="Auto-populates" sqref="E8:E13 E19:E25" xr:uid="{37FF6580-1D82-4220-8B43-740C689AD183}"/>
  </dataValidations>
  <hyperlinks>
    <hyperlink ref="H6" r:id="rId1" display="WBDG - AFMAN 32-1084" xr:uid="{72B04FA6-BE83-44CC-B93E-832175A8CB0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'Sheet References'!$E$1:$E$116</xm:f>
          </x14:formula1>
          <xm:sqref>D8:D13 D19:D25</xm:sqref>
        </x14:dataValidation>
        <x14:dataValidation type="list" allowBlank="1" showInputMessage="1" showErrorMessage="1" xr:uid="{5C2A0FBC-CCFC-4F7D-92C2-7ABA534798F2}">
          <x14:formula1>
            <xm:f>'Sheet References'!$A$14:$A$68</xm:f>
          </x14:formula1>
          <xm:sqref>B8:B13</xm:sqref>
        </x14:dataValidation>
        <x14:dataValidation type="list" allowBlank="1" showInputMessage="1" showErrorMessage="1" xr:uid="{C8C3F0B9-7EED-4F10-9110-155CBD1D9085}">
          <x14:formula1>
            <xm:f>'Sheet References'!$A$57:$A$76</xm:f>
          </x14:formula1>
          <xm:sqref>B19:B25</xm:sqref>
        </x14:dataValidation>
        <x14:dataValidation type="list" allowBlank="1" showInputMessage="1" showErrorMessage="1" xr:uid="{00000000-0002-0000-0100-000003000000}">
          <x14:formula1>
            <xm:f>'Sheet References'!$H$1:$H$46</xm:f>
          </x14:formula1>
          <xm:sqref>A31:D39</xm:sqref>
        </x14:dataValidation>
        <x14:dataValidation type="list" allowBlank="1" showInputMessage="1" showErrorMessage="1" xr:uid="{00000000-0002-0000-0100-000002000000}">
          <x14:formula1>
            <xm:f>'Sheet References'!$L$1:$L$1010</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D9753-4BF6-489D-BFC0-336C54A33570}">
  <sheetPr codeName="Sheet4">
    <tabColor rgb="FF00B050"/>
    <pageSetUpPr fitToPage="1"/>
  </sheetPr>
  <dimension ref="A1:P47"/>
  <sheetViews>
    <sheetView zoomScale="80" zoomScaleNormal="80" workbookViewId="0">
      <selection activeCell="G23" sqref="G23"/>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610913</v>
      </c>
      <c r="F1" s="260"/>
      <c r="G1" s="260"/>
      <c r="H1" s="260"/>
      <c r="I1"/>
      <c r="J1"/>
      <c r="K1"/>
      <c r="L1"/>
      <c r="M1"/>
      <c r="N1"/>
      <c r="O1"/>
      <c r="P1"/>
    </row>
    <row r="2" spans="1:16" ht="21" customHeight="1" x14ac:dyDescent="0.4">
      <c r="A2" s="405" t="s">
        <v>3627</v>
      </c>
      <c r="B2" s="405"/>
      <c r="C2" s="260"/>
      <c r="D2" s="258" t="s">
        <v>16</v>
      </c>
      <c r="E2" s="259" t="str">
        <f>VLOOKUP(E1,'Sheet References'!L1:M972,2,FALSE)</f>
        <v>Emergency Management</v>
      </c>
      <c r="F2" s="260"/>
      <c r="G2" s="260"/>
      <c r="H2" s="260"/>
    </row>
    <row r="3" spans="1:16" ht="21" customHeight="1" x14ac:dyDescent="0.4">
      <c r="A3" s="405" t="s">
        <v>11</v>
      </c>
      <c r="B3" s="405"/>
      <c r="C3" s="258"/>
      <c r="D3" s="258" t="s">
        <v>17</v>
      </c>
      <c r="E3" s="259" t="str">
        <f>VLOOKUP(CATCode,'Sheet References'!L:O,4,FALSE)</f>
        <v>https://www.wbdg.org/FFC/AF/AFMAN/610913_Emergency_Management.pdf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29.15" x14ac:dyDescent="0.4">
      <c r="A7" s="410" t="s">
        <v>28</v>
      </c>
      <c r="B7" s="410"/>
      <c r="C7" s="410"/>
      <c r="D7" s="410"/>
      <c r="E7" s="410"/>
      <c r="F7" s="410"/>
      <c r="G7" s="410"/>
      <c r="H7" s="265" t="s">
        <v>29</v>
      </c>
      <c r="I7"/>
      <c r="J7"/>
      <c r="K7"/>
      <c r="L7"/>
      <c r="M7"/>
      <c r="N7"/>
      <c r="O7"/>
      <c r="P7"/>
    </row>
    <row r="8" spans="1:16" x14ac:dyDescent="0.4">
      <c r="A8" s="267" t="s">
        <v>99</v>
      </c>
      <c r="B8" s="268" t="s">
        <v>38</v>
      </c>
      <c r="C8" s="268" t="str">
        <f>VLOOKUP(B8,'Sheet References'!$A$14:$B$68,2,FALSE)</f>
        <v>Office Type D (Private)</v>
      </c>
      <c r="D8" s="267" t="s">
        <v>32</v>
      </c>
      <c r="E8" s="267">
        <f>VLOOKUP(C8,OfficeTypeSF22[#All],2,FALSE)</f>
        <v>100</v>
      </c>
      <c r="F8" s="267">
        <v>0</v>
      </c>
      <c r="G8" s="269">
        <f>E8*F8</f>
        <v>0</v>
      </c>
      <c r="H8" s="270"/>
    </row>
    <row r="9" spans="1:16" x14ac:dyDescent="0.4">
      <c r="A9" s="412" t="s">
        <v>41</v>
      </c>
      <c r="B9" s="413"/>
      <c r="C9" s="413"/>
      <c r="D9" s="413"/>
      <c r="E9" s="271" t="s">
        <v>42</v>
      </c>
      <c r="F9" s="272">
        <f>SUM(F8:F8)</f>
        <v>0</v>
      </c>
      <c r="G9" s="273">
        <f>SUM(G8:G8)</f>
        <v>0</v>
      </c>
      <c r="H9" s="274"/>
    </row>
    <row r="10" spans="1:16" ht="14.5" customHeight="1" x14ac:dyDescent="0.4">
      <c r="A10" s="414" t="s">
        <v>43</v>
      </c>
      <c r="B10" s="411"/>
      <c r="C10" s="411"/>
      <c r="D10" s="411"/>
      <c r="E10" s="275">
        <v>0.4</v>
      </c>
      <c r="F10" s="267"/>
      <c r="G10" s="269">
        <f>G9*E10</f>
        <v>0</v>
      </c>
      <c r="H10" s="270" t="s">
        <v>44</v>
      </c>
    </row>
    <row r="11" spans="1:16" x14ac:dyDescent="0.4">
      <c r="A11" s="412" t="s">
        <v>45</v>
      </c>
      <c r="B11" s="413"/>
      <c r="C11" s="413"/>
      <c r="D11" s="413"/>
      <c r="E11" s="271" t="s">
        <v>42</v>
      </c>
      <c r="F11" s="271"/>
      <c r="G11" s="276">
        <f>G10+G9</f>
        <v>0</v>
      </c>
      <c r="H11" s="274"/>
    </row>
    <row r="12" spans="1:16" x14ac:dyDescent="0.4">
      <c r="A12" s="415"/>
      <c r="B12" s="402"/>
      <c r="C12" s="402"/>
      <c r="D12" s="402"/>
      <c r="E12" s="402"/>
      <c r="F12" s="402"/>
      <c r="G12" s="402"/>
      <c r="H12" s="403"/>
    </row>
    <row r="13" spans="1:16" s="22" customFormat="1" ht="15.9" x14ac:dyDescent="0.4">
      <c r="A13" s="396" t="s">
        <v>46</v>
      </c>
      <c r="B13" s="396"/>
      <c r="C13" s="396"/>
      <c r="D13" s="396"/>
      <c r="E13" s="396"/>
      <c r="F13" s="396"/>
      <c r="G13" s="396"/>
      <c r="H13" s="396"/>
      <c r="I13"/>
      <c r="J13"/>
      <c r="K13"/>
      <c r="L13"/>
      <c r="M13"/>
      <c r="N13"/>
      <c r="O13"/>
      <c r="P13"/>
    </row>
    <row r="14" spans="1:16" s="22" customFormat="1" x14ac:dyDescent="0.4">
      <c r="A14" s="237" t="s">
        <v>100</v>
      </c>
      <c r="B14" s="238" t="s">
        <v>49</v>
      </c>
      <c r="C14" s="239" t="str">
        <f>VLOOKUP(B14,OpenOffices25[#All],2,FALSE)</f>
        <v>Office Type E (Open)</v>
      </c>
      <c r="D14" s="237" t="s">
        <v>32</v>
      </c>
      <c r="E14" s="267">
        <f>VLOOKUP(C14,OfficeTypeSF22[#All],2,FALSE)</f>
        <v>65</v>
      </c>
      <c r="F14" s="237">
        <v>0</v>
      </c>
      <c r="G14" s="240">
        <f>E14*F14</f>
        <v>0</v>
      </c>
      <c r="H14" s="242"/>
      <c r="I14"/>
      <c r="J14"/>
      <c r="K14"/>
      <c r="L14"/>
      <c r="M14"/>
      <c r="N14"/>
      <c r="O14"/>
      <c r="P14"/>
    </row>
    <row r="15" spans="1:16" s="22" customFormat="1" x14ac:dyDescent="0.4">
      <c r="A15" s="237" t="s">
        <v>101</v>
      </c>
      <c r="B15" s="238" t="s">
        <v>54</v>
      </c>
      <c r="C15" s="239" t="str">
        <f>VLOOKUP(B15,OpenOffices25[#All],2,FALSE)</f>
        <v>Office Type F (Open)</v>
      </c>
      <c r="D15" s="237" t="s">
        <v>32</v>
      </c>
      <c r="E15" s="267">
        <f>VLOOKUP(C15,OfficeTypeSF22[#All],2,FALSE)</f>
        <v>36</v>
      </c>
      <c r="F15" s="237">
        <v>0</v>
      </c>
      <c r="G15" s="240">
        <f>E15*F15</f>
        <v>0</v>
      </c>
      <c r="H15" s="242"/>
      <c r="I15"/>
      <c r="J15"/>
      <c r="K15"/>
      <c r="L15"/>
      <c r="M15"/>
      <c r="N15"/>
      <c r="O15"/>
      <c r="P15"/>
    </row>
    <row r="16" spans="1:16" s="22" customFormat="1" x14ac:dyDescent="0.4">
      <c r="A16" s="237" t="s">
        <v>102</v>
      </c>
      <c r="B16" s="238" t="s">
        <v>57</v>
      </c>
      <c r="C16" s="239" t="str">
        <f>VLOOKUP(B16,OpenOffices25[#All],2,FALSE)</f>
        <v>Office Type H (Open)</v>
      </c>
      <c r="D16" s="237" t="s">
        <v>32</v>
      </c>
      <c r="E16" s="267">
        <f>VLOOKUP(C16,OfficeTypeSF22[#All],2,FALSE)</f>
        <v>20</v>
      </c>
      <c r="F16" s="237">
        <v>0</v>
      </c>
      <c r="G16" s="240">
        <f>E16*F16</f>
        <v>0</v>
      </c>
      <c r="H16" s="242"/>
      <c r="I16"/>
      <c r="J16"/>
      <c r="K16"/>
      <c r="L16"/>
      <c r="M16"/>
      <c r="N16"/>
      <c r="O16"/>
      <c r="P16"/>
    </row>
    <row r="17" spans="1:16" s="22" customFormat="1" x14ac:dyDescent="0.4">
      <c r="A17" s="397" t="s">
        <v>58</v>
      </c>
      <c r="B17" s="398"/>
      <c r="C17" s="398"/>
      <c r="D17" s="398"/>
      <c r="E17" s="243" t="s">
        <v>42</v>
      </c>
      <c r="F17" s="272">
        <f>SUM(F14:F16)</f>
        <v>0</v>
      </c>
      <c r="G17" s="244">
        <f>SUM(G14:G16)</f>
        <v>0</v>
      </c>
      <c r="H17" s="242"/>
      <c r="I17"/>
      <c r="J17"/>
      <c r="K17"/>
      <c r="L17"/>
      <c r="M17"/>
      <c r="N17"/>
      <c r="O17"/>
      <c r="P17"/>
    </row>
    <row r="18" spans="1:16" s="22" customFormat="1" ht="14.5" customHeight="1" x14ac:dyDescent="0.4">
      <c r="A18" s="399" t="s">
        <v>59</v>
      </c>
      <c r="B18" s="400"/>
      <c r="C18" s="400"/>
      <c r="D18" s="400"/>
      <c r="E18" s="245">
        <v>0.6</v>
      </c>
      <c r="F18" s="237"/>
      <c r="G18" s="246">
        <f>G17*E18</f>
        <v>0</v>
      </c>
      <c r="H18" s="242" t="s">
        <v>44</v>
      </c>
      <c r="I18"/>
      <c r="J18"/>
      <c r="K18"/>
      <c r="L18"/>
      <c r="M18"/>
      <c r="N18"/>
      <c r="O18"/>
      <c r="P18"/>
    </row>
    <row r="19" spans="1:16" s="23" customFormat="1" ht="15.9" x14ac:dyDescent="0.4">
      <c r="A19" s="397" t="s">
        <v>60</v>
      </c>
      <c r="B19" s="398"/>
      <c r="C19" s="398"/>
      <c r="D19" s="398"/>
      <c r="E19" s="243" t="s">
        <v>42</v>
      </c>
      <c r="F19" s="243"/>
      <c r="G19" s="244">
        <f>G18+G17</f>
        <v>0</v>
      </c>
      <c r="H19" s="247"/>
      <c r="I19"/>
      <c r="J19"/>
      <c r="K19"/>
      <c r="L19"/>
      <c r="M19"/>
      <c r="N19"/>
      <c r="O19"/>
      <c r="P19"/>
    </row>
    <row r="20" spans="1:16" x14ac:dyDescent="0.4">
      <c r="A20" s="415"/>
      <c r="B20" s="402"/>
      <c r="C20" s="402"/>
      <c r="D20" s="402"/>
      <c r="E20" s="402"/>
      <c r="F20" s="402"/>
      <c r="G20" s="402"/>
      <c r="H20" s="403"/>
    </row>
    <row r="21" spans="1:16" s="4" customFormat="1" ht="15.9" x14ac:dyDescent="0.4">
      <c r="A21" s="410" t="s">
        <v>61</v>
      </c>
      <c r="B21" s="410"/>
      <c r="C21" s="410"/>
      <c r="D21" s="410"/>
      <c r="E21" s="410"/>
      <c r="F21" s="410"/>
      <c r="G21" s="410"/>
      <c r="H21" s="410"/>
      <c r="I21"/>
      <c r="J21"/>
      <c r="K21"/>
      <c r="L21"/>
      <c r="M21"/>
      <c r="N21"/>
      <c r="O21"/>
      <c r="P21"/>
    </row>
    <row r="22" spans="1:16" s="4" customFormat="1" ht="58.3" x14ac:dyDescent="0.4">
      <c r="A22" s="411" t="s">
        <v>62</v>
      </c>
      <c r="B22" s="411"/>
      <c r="C22" s="411"/>
      <c r="D22" s="411"/>
      <c r="E22" s="202">
        <f>VLOOKUP(A22,AdminSpecialPurpose26[#All],2,TRUE)</f>
        <v>8</v>
      </c>
      <c r="F22" s="248">
        <f>F9+F17</f>
        <v>0</v>
      </c>
      <c r="G22" s="269">
        <f>E22*F22</f>
        <v>0</v>
      </c>
      <c r="H22" s="270" t="s">
        <v>63</v>
      </c>
      <c r="I22"/>
      <c r="J22"/>
      <c r="K22"/>
      <c r="L22"/>
      <c r="M22"/>
      <c r="N22"/>
      <c r="O22"/>
      <c r="P22"/>
    </row>
    <row r="23" spans="1:16" s="4" customFormat="1" ht="43.75" x14ac:dyDescent="0.4">
      <c r="A23" s="411" t="s">
        <v>5341</v>
      </c>
      <c r="B23" s="411"/>
      <c r="C23" s="411"/>
      <c r="D23" s="411"/>
      <c r="E23" s="202" t="str">
        <f>VLOOKUP(A23,AdminSpecialPurpose26[#All],2,TRUE)</f>
        <v>(auto-populates)</v>
      </c>
      <c r="F23" s="248">
        <f>F9+F17</f>
        <v>0</v>
      </c>
      <c r="G23" s="202">
        <f>VLOOKUP(F23,MeetingSpace24[#All],6,TRUE)</f>
        <v>0</v>
      </c>
      <c r="H23" s="270" t="s">
        <v>64</v>
      </c>
      <c r="I23"/>
      <c r="J23"/>
      <c r="K23"/>
      <c r="L23"/>
      <c r="M23"/>
      <c r="N23"/>
      <c r="O23"/>
      <c r="P23"/>
    </row>
    <row r="24" spans="1:16" s="4" customFormat="1" ht="29.15" x14ac:dyDescent="0.4">
      <c r="A24" s="411" t="s">
        <v>65</v>
      </c>
      <c r="B24" s="413"/>
      <c r="C24" s="413"/>
      <c r="D24" s="413"/>
      <c r="E24" s="202">
        <f>VLOOKUP(A24,AdminSpecialPurpose26[#All],2,TRUE)</f>
        <v>3</v>
      </c>
      <c r="F24" s="249">
        <f>(F9+F17)</f>
        <v>0</v>
      </c>
      <c r="G24" s="269">
        <f>MAX(E24*F24,50)</f>
        <v>50</v>
      </c>
      <c r="H24" s="270" t="s">
        <v>66</v>
      </c>
      <c r="I24"/>
      <c r="J24"/>
      <c r="K24"/>
      <c r="L24"/>
      <c r="M24"/>
      <c r="N24"/>
      <c r="O24"/>
      <c r="P24"/>
    </row>
    <row r="25" spans="1:16" s="4" customFormat="1" ht="15.9" x14ac:dyDescent="0.4">
      <c r="A25" s="411" t="s">
        <v>267</v>
      </c>
      <c r="B25" s="413"/>
      <c r="C25" s="413"/>
      <c r="D25" s="413"/>
      <c r="E25" s="202">
        <f>VLOOKUP(A25,AdminSpecialPurpose26[#All],2,TRUE)</f>
        <v>30</v>
      </c>
      <c r="F25" s="249">
        <v>0</v>
      </c>
      <c r="G25" s="269">
        <f>MAX(E25*F25)</f>
        <v>0</v>
      </c>
      <c r="H25" s="270" t="s">
        <v>3920</v>
      </c>
      <c r="I25"/>
      <c r="J25"/>
      <c r="K25"/>
      <c r="L25"/>
      <c r="M25"/>
      <c r="N25"/>
      <c r="O25"/>
      <c r="P25"/>
    </row>
    <row r="26" spans="1:16" s="4" customFormat="1" ht="72.900000000000006" x14ac:dyDescent="0.4">
      <c r="A26" s="411" t="s">
        <v>74</v>
      </c>
      <c r="B26" s="413"/>
      <c r="C26" s="413"/>
      <c r="D26" s="413"/>
      <c r="E26" s="202">
        <f>VLOOKUP(A26,AdminSpecialPurpose26[#All],2,TRUE)</f>
        <v>35</v>
      </c>
      <c r="F26" s="249">
        <v>0</v>
      </c>
      <c r="G26" s="269">
        <f>MAX(E26*F26)</f>
        <v>0</v>
      </c>
      <c r="H26" s="250" t="s">
        <v>75</v>
      </c>
      <c r="I26"/>
      <c r="J26"/>
      <c r="K26"/>
      <c r="L26"/>
      <c r="M26"/>
      <c r="N26"/>
      <c r="O26"/>
      <c r="P26"/>
    </row>
    <row r="27" spans="1:16" x14ac:dyDescent="0.4">
      <c r="A27" s="412" t="s">
        <v>76</v>
      </c>
      <c r="B27" s="412"/>
      <c r="C27" s="412"/>
      <c r="D27" s="412"/>
      <c r="E27" s="272" t="s">
        <v>42</v>
      </c>
      <c r="F27" s="251"/>
      <c r="G27" s="276">
        <f>SUM(G22:G26)</f>
        <v>50</v>
      </c>
      <c r="H27" s="270"/>
    </row>
    <row r="28" spans="1:16" x14ac:dyDescent="0.4">
      <c r="A28" s="407" t="s">
        <v>77</v>
      </c>
      <c r="B28" s="408"/>
      <c r="C28" s="408"/>
      <c r="D28" s="408"/>
      <c r="E28" s="275">
        <v>0.4</v>
      </c>
      <c r="F28" s="267"/>
      <c r="G28" s="252">
        <f>E28*G27</f>
        <v>20</v>
      </c>
      <c r="H28" s="270" t="s">
        <v>44</v>
      </c>
    </row>
    <row r="29" spans="1:16" x14ac:dyDescent="0.4">
      <c r="A29" s="412" t="s">
        <v>78</v>
      </c>
      <c r="B29" s="413"/>
      <c r="C29" s="413"/>
      <c r="D29" s="413"/>
      <c r="E29" s="271" t="s">
        <v>42</v>
      </c>
      <c r="F29" s="253"/>
      <c r="G29" s="276">
        <f>SUM(G27:G28)</f>
        <v>70</v>
      </c>
      <c r="H29" s="270"/>
    </row>
    <row r="30" spans="1:16" x14ac:dyDescent="0.4">
      <c r="A30" s="413"/>
      <c r="B30" s="413"/>
      <c r="C30" s="413"/>
      <c r="D30" s="413"/>
      <c r="E30" s="413"/>
      <c r="F30" s="413"/>
      <c r="G30" s="413"/>
      <c r="H30" s="413"/>
    </row>
    <row r="31" spans="1:16" s="4" customFormat="1" ht="15.9" x14ac:dyDescent="0.4">
      <c r="A31" s="410" t="s">
        <v>79</v>
      </c>
      <c r="B31" s="409"/>
      <c r="C31" s="409"/>
      <c r="D31" s="409"/>
      <c r="E31" s="409"/>
      <c r="F31" s="409"/>
      <c r="G31" s="409"/>
      <c r="H31" s="409"/>
      <c r="I31"/>
      <c r="J31"/>
      <c r="K31"/>
      <c r="L31"/>
      <c r="M31"/>
      <c r="N31"/>
      <c r="O31"/>
      <c r="P31"/>
    </row>
    <row r="32" spans="1:16" ht="14.5" customHeight="1" x14ac:dyDescent="0.4">
      <c r="A32" s="416" t="s">
        <v>3611</v>
      </c>
      <c r="B32" s="417"/>
      <c r="C32" s="417"/>
      <c r="D32" s="418"/>
      <c r="E32" s="267">
        <v>400</v>
      </c>
      <c r="F32" s="254">
        <v>1</v>
      </c>
      <c r="G32" s="269">
        <f t="shared" ref="G32:G39" si="0">E32*F32</f>
        <v>400</v>
      </c>
      <c r="H32" s="270" t="s">
        <v>3921</v>
      </c>
    </row>
    <row r="33" spans="1:16" x14ac:dyDescent="0.4">
      <c r="A33" s="416" t="s">
        <v>105</v>
      </c>
      <c r="B33" s="417"/>
      <c r="C33" s="417"/>
      <c r="D33" s="418"/>
      <c r="E33" s="267">
        <v>1500</v>
      </c>
      <c r="F33" s="254">
        <v>1</v>
      </c>
      <c r="G33" s="269">
        <f t="shared" si="0"/>
        <v>1500</v>
      </c>
      <c r="H33" s="270" t="s">
        <v>3921</v>
      </c>
    </row>
    <row r="34" spans="1:16" x14ac:dyDescent="0.4">
      <c r="A34" s="416" t="s">
        <v>3612</v>
      </c>
      <c r="B34" s="417"/>
      <c r="C34" s="417"/>
      <c r="D34" s="418"/>
      <c r="E34" s="267">
        <v>35</v>
      </c>
      <c r="F34" s="254">
        <v>2</v>
      </c>
      <c r="G34" s="269">
        <f t="shared" si="0"/>
        <v>70</v>
      </c>
      <c r="H34" s="270" t="s">
        <v>3921</v>
      </c>
    </row>
    <row r="35" spans="1:16" ht="29.15" x14ac:dyDescent="0.4">
      <c r="A35" s="416" t="s">
        <v>104</v>
      </c>
      <c r="B35" s="417"/>
      <c r="C35" s="417"/>
      <c r="D35" s="418"/>
      <c r="E35" s="267">
        <v>125</v>
      </c>
      <c r="F35" s="254">
        <v>1</v>
      </c>
      <c r="G35" s="269">
        <f t="shared" si="0"/>
        <v>125</v>
      </c>
      <c r="H35" s="250" t="s">
        <v>3922</v>
      </c>
    </row>
    <row r="36" spans="1:16" x14ac:dyDescent="0.4">
      <c r="A36" s="416" t="s">
        <v>106</v>
      </c>
      <c r="B36" s="417"/>
      <c r="C36" s="417"/>
      <c r="D36" s="418"/>
      <c r="E36" s="267">
        <v>1000</v>
      </c>
      <c r="F36" s="254">
        <v>1</v>
      </c>
      <c r="G36" s="269">
        <f t="shared" si="0"/>
        <v>1000</v>
      </c>
      <c r="H36" s="270" t="s">
        <v>3921</v>
      </c>
    </row>
    <row r="37" spans="1:16" ht="14.5" customHeight="1" x14ac:dyDescent="0.4">
      <c r="A37" s="416" t="s">
        <v>3613</v>
      </c>
      <c r="B37" s="417"/>
      <c r="C37" s="417"/>
      <c r="D37" s="418"/>
      <c r="E37" s="267">
        <v>4</v>
      </c>
      <c r="F37" s="254">
        <v>1</v>
      </c>
      <c r="G37" s="269">
        <f t="shared" si="0"/>
        <v>4</v>
      </c>
      <c r="H37" s="250" t="s">
        <v>3923</v>
      </c>
    </row>
    <row r="38" spans="1:16" x14ac:dyDescent="0.4">
      <c r="A38" s="416" t="s">
        <v>3614</v>
      </c>
      <c r="B38" s="417"/>
      <c r="C38" s="417"/>
      <c r="D38" s="418"/>
      <c r="E38" s="267">
        <v>800</v>
      </c>
      <c r="F38" s="254">
        <v>1</v>
      </c>
      <c r="G38" s="269">
        <f t="shared" si="0"/>
        <v>800</v>
      </c>
      <c r="H38" s="270" t="s">
        <v>3921</v>
      </c>
    </row>
    <row r="39" spans="1:16" x14ac:dyDescent="0.4">
      <c r="A39" s="416" t="s">
        <v>3615</v>
      </c>
      <c r="B39" s="417"/>
      <c r="C39" s="417"/>
      <c r="D39" s="418"/>
      <c r="E39" s="267"/>
      <c r="F39" s="254">
        <v>1</v>
      </c>
      <c r="G39" s="269">
        <f t="shared" si="0"/>
        <v>0</v>
      </c>
      <c r="H39" s="270"/>
    </row>
    <row r="40" spans="1:16" x14ac:dyDescent="0.4">
      <c r="A40" s="412" t="s">
        <v>90</v>
      </c>
      <c r="B40" s="412"/>
      <c r="C40" s="412"/>
      <c r="D40" s="412"/>
      <c r="E40" s="272" t="s">
        <v>42</v>
      </c>
      <c r="F40" s="251"/>
      <c r="G40" s="276">
        <f>SUM(G32:G39)</f>
        <v>3899</v>
      </c>
      <c r="H40" s="270"/>
    </row>
    <row r="41" spans="1:16" x14ac:dyDescent="0.4">
      <c r="A41" s="407" t="s">
        <v>91</v>
      </c>
      <c r="B41" s="408"/>
      <c r="C41" s="408"/>
      <c r="D41" s="408"/>
      <c r="E41" s="275">
        <v>0.1</v>
      </c>
      <c r="F41" s="267"/>
      <c r="G41" s="252">
        <f>E41*G40</f>
        <v>389.90000000000003</v>
      </c>
      <c r="H41" s="270" t="s">
        <v>44</v>
      </c>
    </row>
    <row r="42" spans="1:16" x14ac:dyDescent="0.4">
      <c r="A42" s="412" t="s">
        <v>92</v>
      </c>
      <c r="B42" s="413"/>
      <c r="C42" s="413"/>
      <c r="D42" s="413"/>
      <c r="E42" s="271" t="s">
        <v>42</v>
      </c>
      <c r="F42" s="253"/>
      <c r="G42" s="276">
        <f>SUM(G40:G41)</f>
        <v>4288.8999999999996</v>
      </c>
      <c r="H42" s="270"/>
    </row>
    <row r="43" spans="1:16" x14ac:dyDescent="0.4">
      <c r="A43" s="413"/>
      <c r="B43" s="413"/>
      <c r="C43" s="413"/>
      <c r="D43" s="413"/>
      <c r="E43" s="413"/>
      <c r="F43" s="413"/>
      <c r="G43" s="413"/>
      <c r="H43" s="413"/>
    </row>
    <row r="44" spans="1:16" s="4" customFormat="1" ht="15.9" x14ac:dyDescent="0.4">
      <c r="A44" s="410" t="s">
        <v>93</v>
      </c>
      <c r="B44" s="409"/>
      <c r="C44" s="409"/>
      <c r="D44" s="409"/>
      <c r="E44" s="409"/>
      <c r="F44" s="409"/>
      <c r="G44" s="409"/>
      <c r="H44" s="409"/>
      <c r="I44"/>
      <c r="J44"/>
      <c r="K44"/>
      <c r="L44"/>
      <c r="M44"/>
      <c r="N44"/>
      <c r="O44"/>
      <c r="P44"/>
    </row>
    <row r="45" spans="1:16" x14ac:dyDescent="0.4">
      <c r="A45" s="414" t="s">
        <v>94</v>
      </c>
      <c r="B45" s="413"/>
      <c r="C45" s="413"/>
      <c r="D45" s="413"/>
      <c r="E45" s="255" t="s">
        <v>95</v>
      </c>
      <c r="F45" s="256"/>
      <c r="G45" s="252">
        <f>G42+G29+G11+G19</f>
        <v>4358.8999999999996</v>
      </c>
      <c r="H45" s="274"/>
    </row>
    <row r="46" spans="1:16" ht="14.5" customHeight="1" x14ac:dyDescent="0.4">
      <c r="A46" s="414" t="s">
        <v>96</v>
      </c>
      <c r="B46" s="411"/>
      <c r="C46" s="411"/>
      <c r="D46" s="411"/>
      <c r="E46" s="275">
        <v>0.42</v>
      </c>
      <c r="F46" s="268"/>
      <c r="G46" s="269">
        <f>G45*E46</f>
        <v>1830.7379999999998</v>
      </c>
      <c r="H46" s="270" t="s">
        <v>97</v>
      </c>
    </row>
    <row r="47" spans="1:16" x14ac:dyDescent="0.4">
      <c r="E47" s="272" t="s">
        <v>98</v>
      </c>
      <c r="F47" s="257"/>
      <c r="G47" s="276">
        <f>SUM(G45:G46)</f>
        <v>6189.637999999999</v>
      </c>
    </row>
  </sheetData>
  <mergeCells count="41">
    <mergeCell ref="A45:D45"/>
    <mergeCell ref="A46:D46"/>
    <mergeCell ref="A26:D26"/>
    <mergeCell ref="A32:D32"/>
    <mergeCell ref="A38:D38"/>
    <mergeCell ref="A37:D37"/>
    <mergeCell ref="A35:D35"/>
    <mergeCell ref="A40:D40"/>
    <mergeCell ref="A41:D41"/>
    <mergeCell ref="A42:D42"/>
    <mergeCell ref="A43:H43"/>
    <mergeCell ref="A39:D39"/>
    <mergeCell ref="A31:H31"/>
    <mergeCell ref="A33:D33"/>
    <mergeCell ref="A34:D34"/>
    <mergeCell ref="A36:D36"/>
    <mergeCell ref="A44:H44"/>
    <mergeCell ref="A24:D24"/>
    <mergeCell ref="A27:D27"/>
    <mergeCell ref="A28:D28"/>
    <mergeCell ref="A29:D29"/>
    <mergeCell ref="A30:H30"/>
    <mergeCell ref="A25:D25"/>
    <mergeCell ref="A23:D23"/>
    <mergeCell ref="A9:D9"/>
    <mergeCell ref="A10:D10"/>
    <mergeCell ref="A11:D11"/>
    <mergeCell ref="A12:H12"/>
    <mergeCell ref="A13:H13"/>
    <mergeCell ref="A17:D17"/>
    <mergeCell ref="A18:D18"/>
    <mergeCell ref="A19:D19"/>
    <mergeCell ref="A20:H20"/>
    <mergeCell ref="A21:H21"/>
    <mergeCell ref="A22:D22"/>
    <mergeCell ref="A7:G7"/>
    <mergeCell ref="A1:B1"/>
    <mergeCell ref="A2:B2"/>
    <mergeCell ref="A3:B3"/>
    <mergeCell ref="A4:B4"/>
    <mergeCell ref="A5:B5"/>
  </mergeCells>
  <phoneticPr fontId="55" type="noConversion"/>
  <dataValidations count="1">
    <dataValidation allowBlank="1" showErrorMessage="1" promptTitle="SF Authorized" prompt="Auto-populates" sqref="E8 E14:E16" xr:uid="{5575BA30-DC0B-4DBB-A824-BC94B24DE3EC}"/>
  </dataValidations>
  <hyperlinks>
    <hyperlink ref="H6" r:id="rId1" display="WBDG - AFMAN 32-1084" xr:uid="{8EA7AD91-CEA1-4EDD-A801-086131C4DB5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5F57A7C2-0730-4180-A354-5F8E91600058}">
          <x14:formula1>
            <xm:f>'Sheet References'!$A$57:$A$76</xm:f>
          </x14:formula1>
          <xm:sqref>B14:B16</xm:sqref>
        </x14:dataValidation>
        <x14:dataValidation type="list" allowBlank="1" showInputMessage="1" showErrorMessage="1" xr:uid="{95EA63EC-E471-4052-8E3D-67E789CD0B62}">
          <x14:formula1>
            <xm:f>'Sheet References'!$A$14:$A$52</xm:f>
          </x14:formula1>
          <xm:sqref>B8</xm:sqref>
        </x14:dataValidation>
        <x14:dataValidation type="list" allowBlank="1" showInputMessage="1" showErrorMessage="1" xr:uid="{F8F4AFC8-6A2F-44A1-B323-11EEE7FD0501}">
          <x14:formula1>
            <xm:f>'Sheet References'!$H$1:$H$46</xm:f>
          </x14:formula1>
          <xm:sqref>A22:D26</xm:sqref>
        </x14:dataValidation>
        <x14:dataValidation type="list" allowBlank="1" showInputMessage="1" showErrorMessage="1" xr:uid="{4DCC6C1C-C8F8-4A37-ACB6-8D0F2B7F0BB0}">
          <x14:formula1>
            <xm:f>'Sheet References'!$E$1:$E$116</xm:f>
          </x14:formula1>
          <xm:sqref>D8 D14:D16</xm:sqref>
        </x14:dataValidation>
        <x14:dataValidation type="list" allowBlank="1" showInputMessage="1" showErrorMessage="1" xr:uid="{525570CB-86A1-463A-8AF8-3888FEB791DE}">
          <x14:formula1>
            <xm:f>'Sheet References'!$L$1:$L$874</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670CB-E716-4CF4-8737-782F1479EED2}">
  <sheetPr codeName="Sheet5">
    <tabColor rgb="FF00B050"/>
    <pageSetUpPr fitToPage="1"/>
  </sheetPr>
  <dimension ref="A1:P46"/>
  <sheetViews>
    <sheetView zoomScale="80" zoomScaleNormal="80" workbookViewId="0">
      <selection activeCell="A29" sqref="A29:D29"/>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610119</v>
      </c>
      <c r="F1" s="260"/>
      <c r="G1" s="260"/>
      <c r="H1" s="260"/>
      <c r="I1"/>
      <c r="J1"/>
      <c r="K1"/>
      <c r="L1"/>
      <c r="M1"/>
      <c r="N1"/>
      <c r="O1"/>
      <c r="P1"/>
    </row>
    <row r="2" spans="1:16" ht="21" customHeight="1" x14ac:dyDescent="0.4">
      <c r="A2" s="405" t="s">
        <v>3627</v>
      </c>
      <c r="B2" s="405"/>
      <c r="C2" s="260"/>
      <c r="D2" s="258" t="s">
        <v>16</v>
      </c>
      <c r="E2" s="259" t="str">
        <f>VLOOKUP(E1,'Sheet References'!L1:M972,2,FALSE)</f>
        <v>Family Housing Management Office</v>
      </c>
      <c r="F2" s="260"/>
      <c r="G2" s="260"/>
      <c r="H2" s="260"/>
    </row>
    <row r="3" spans="1:16" ht="21" customHeight="1" x14ac:dyDescent="0.4">
      <c r="A3" s="405" t="s">
        <v>11</v>
      </c>
      <c r="B3" s="405"/>
      <c r="C3" s="258"/>
      <c r="D3" s="258" t="s">
        <v>17</v>
      </c>
      <c r="E3" s="259" t="str">
        <f>VLOOKUP(CATCode,'Sheet References'!L:O,4,FALSE)</f>
        <v>https://www.wbdg.org/FFC/AF/AFMAN/610119_Family_Housing_Mgmt_Office.pdf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29.15" x14ac:dyDescent="0.4">
      <c r="A7" s="410" t="s">
        <v>28</v>
      </c>
      <c r="B7" s="410"/>
      <c r="C7" s="410"/>
      <c r="D7" s="410"/>
      <c r="E7" s="410"/>
      <c r="F7" s="410"/>
      <c r="G7" s="410"/>
      <c r="H7" s="265" t="s">
        <v>29</v>
      </c>
      <c r="I7"/>
      <c r="J7"/>
      <c r="K7"/>
      <c r="L7"/>
      <c r="M7"/>
      <c r="N7"/>
      <c r="O7"/>
      <c r="P7"/>
    </row>
    <row r="8" spans="1:16" x14ac:dyDescent="0.4">
      <c r="A8" s="267" t="s">
        <v>3621</v>
      </c>
      <c r="B8" s="268" t="s">
        <v>108</v>
      </c>
      <c r="C8" s="268" t="str">
        <f>VLOOKUP(B8,'Sheet References'!$A$14:$B$68,2,FALSE)</f>
        <v>Office Type D (Private)</v>
      </c>
      <c r="D8" s="267" t="s">
        <v>32</v>
      </c>
      <c r="E8" s="267">
        <f>VLOOKUP(C8,OfficeTypeSF22[#All],2,FALSE)</f>
        <v>100</v>
      </c>
      <c r="F8" s="267">
        <v>1</v>
      </c>
      <c r="G8" s="269">
        <f>E8*F8</f>
        <v>100</v>
      </c>
      <c r="H8" s="270" t="s">
        <v>3622</v>
      </c>
    </row>
    <row r="9" spans="1:16" x14ac:dyDescent="0.4">
      <c r="A9" s="267" t="s">
        <v>3618</v>
      </c>
      <c r="B9" s="268" t="s">
        <v>108</v>
      </c>
      <c r="C9" s="268" t="str">
        <f>VLOOKUP(B9,'Sheet References'!$A$14:$B$68,2,FALSE)</f>
        <v>Office Type D (Private)</v>
      </c>
      <c r="D9" s="267" t="s">
        <v>32</v>
      </c>
      <c r="E9" s="267">
        <f>VLOOKUP(C9,OfficeTypeSF22[#All],2,FALSE)</f>
        <v>100</v>
      </c>
      <c r="F9" s="267">
        <v>0</v>
      </c>
      <c r="G9" s="269">
        <f>E9*F9</f>
        <v>0</v>
      </c>
      <c r="H9" s="270" t="s">
        <v>3619</v>
      </c>
    </row>
    <row r="10" spans="1:16" x14ac:dyDescent="0.4">
      <c r="A10" s="267" t="s">
        <v>3620</v>
      </c>
      <c r="B10" s="268" t="s">
        <v>108</v>
      </c>
      <c r="C10" s="268" t="str">
        <f>VLOOKUP(B10,'Sheet References'!$A$14:$B$68,2,FALSE)</f>
        <v>Office Type D (Private)</v>
      </c>
      <c r="D10" s="267" t="s">
        <v>32</v>
      </c>
      <c r="E10" s="267">
        <f>VLOOKUP(C10,OfficeTypeSF22[#All],2,FALSE)</f>
        <v>100</v>
      </c>
      <c r="F10" s="267">
        <v>0</v>
      </c>
      <c r="G10" s="269">
        <f>E10*F10</f>
        <v>0</v>
      </c>
      <c r="H10" s="270" t="s">
        <v>3619</v>
      </c>
    </row>
    <row r="11" spans="1:16" x14ac:dyDescent="0.4">
      <c r="A11" s="267" t="s">
        <v>107</v>
      </c>
      <c r="B11" s="268" t="s">
        <v>108</v>
      </c>
      <c r="C11" s="268" t="str">
        <f>VLOOKUP(B11,'Sheet References'!$A$14:$B$68,2,FALSE)</f>
        <v>Office Type D (Private)</v>
      </c>
      <c r="D11" s="267" t="s">
        <v>32</v>
      </c>
      <c r="E11" s="267">
        <f>VLOOKUP(C11,OfficeTypeSF22[#All],2,FALSE)</f>
        <v>100</v>
      </c>
      <c r="F11" s="267">
        <v>1</v>
      </c>
      <c r="G11" s="269">
        <f>E11*F11</f>
        <v>100</v>
      </c>
      <c r="H11" s="270" t="s">
        <v>3623</v>
      </c>
    </row>
    <row r="12" spans="1:16" x14ac:dyDescent="0.4">
      <c r="A12" s="412" t="s">
        <v>41</v>
      </c>
      <c r="B12" s="413"/>
      <c r="C12" s="413"/>
      <c r="D12" s="413"/>
      <c r="E12" s="271" t="s">
        <v>42</v>
      </c>
      <c r="F12" s="272">
        <f>SUM(F8:F11)</f>
        <v>2</v>
      </c>
      <c r="G12" s="273">
        <f>SUM(G8:G11)</f>
        <v>200</v>
      </c>
      <c r="H12" s="274"/>
    </row>
    <row r="13" spans="1:16" ht="14.5" customHeight="1" x14ac:dyDescent="0.4">
      <c r="A13" s="414" t="s">
        <v>43</v>
      </c>
      <c r="B13" s="411"/>
      <c r="C13" s="411"/>
      <c r="D13" s="411"/>
      <c r="E13" s="275">
        <v>0.4</v>
      </c>
      <c r="F13" s="267"/>
      <c r="G13" s="269">
        <f>G12*E13</f>
        <v>80</v>
      </c>
      <c r="H13" s="270" t="s">
        <v>44</v>
      </c>
    </row>
    <row r="14" spans="1:16" x14ac:dyDescent="0.4">
      <c r="A14" s="412" t="s">
        <v>45</v>
      </c>
      <c r="B14" s="413"/>
      <c r="C14" s="413"/>
      <c r="D14" s="413"/>
      <c r="E14" s="271" t="s">
        <v>42</v>
      </c>
      <c r="F14" s="271"/>
      <c r="G14" s="276">
        <f>G13+G12</f>
        <v>280</v>
      </c>
      <c r="H14" s="274"/>
    </row>
    <row r="15" spans="1:16" x14ac:dyDescent="0.4">
      <c r="A15" s="415"/>
      <c r="B15" s="402"/>
      <c r="C15" s="402"/>
      <c r="D15" s="402"/>
      <c r="E15" s="402"/>
      <c r="F15" s="402"/>
      <c r="G15" s="402"/>
      <c r="H15" s="403"/>
    </row>
    <row r="16" spans="1:16" s="22" customFormat="1" ht="15.9" x14ac:dyDescent="0.4">
      <c r="A16" s="396" t="s">
        <v>46</v>
      </c>
      <c r="B16" s="396"/>
      <c r="C16" s="396"/>
      <c r="D16" s="396"/>
      <c r="E16" s="396"/>
      <c r="F16" s="396"/>
      <c r="G16" s="396"/>
      <c r="H16" s="396"/>
      <c r="I16"/>
      <c r="J16"/>
      <c r="K16"/>
      <c r="L16"/>
      <c r="M16"/>
      <c r="N16"/>
      <c r="O16"/>
      <c r="P16"/>
    </row>
    <row r="17" spans="1:16" s="22" customFormat="1" x14ac:dyDescent="0.4">
      <c r="A17" s="237" t="s">
        <v>53</v>
      </c>
      <c r="B17" s="238" t="s">
        <v>109</v>
      </c>
      <c r="C17" s="239" t="str">
        <f>VLOOKUP(B17,OpenOffices25[#All],2,FALSE)</f>
        <v>Office Type E (Open)</v>
      </c>
      <c r="D17" s="237" t="s">
        <v>32</v>
      </c>
      <c r="E17" s="267">
        <f>VLOOKUP(C17,OfficeTypeSF22[#All],2,FALSE)</f>
        <v>65</v>
      </c>
      <c r="F17" s="237">
        <v>0</v>
      </c>
      <c r="G17" s="240">
        <f>E17*F17</f>
        <v>0</v>
      </c>
      <c r="H17" s="242"/>
      <c r="I17"/>
      <c r="J17"/>
      <c r="K17"/>
      <c r="L17"/>
      <c r="M17"/>
      <c r="N17"/>
      <c r="O17"/>
      <c r="P17"/>
    </row>
    <row r="18" spans="1:16" s="22" customFormat="1" x14ac:dyDescent="0.4">
      <c r="A18" s="237" t="s">
        <v>110</v>
      </c>
      <c r="B18" s="238" t="s">
        <v>109</v>
      </c>
      <c r="C18" s="239" t="str">
        <f>VLOOKUP(B18,OpenOffices25[#All],2,FALSE)</f>
        <v>Office Type E (Open)</v>
      </c>
      <c r="D18" s="237" t="s">
        <v>32</v>
      </c>
      <c r="E18" s="267">
        <f>VLOOKUP(C18,OfficeTypeSF22[#All],2,FALSE)</f>
        <v>65</v>
      </c>
      <c r="F18" s="237">
        <v>0</v>
      </c>
      <c r="G18" s="240">
        <f>E18*F18</f>
        <v>0</v>
      </c>
      <c r="H18" s="242"/>
      <c r="I18"/>
      <c r="J18"/>
      <c r="K18"/>
      <c r="L18"/>
      <c r="M18"/>
      <c r="N18"/>
      <c r="O18"/>
      <c r="P18"/>
    </row>
    <row r="19" spans="1:16" s="22" customFormat="1" x14ac:dyDescent="0.4">
      <c r="A19" s="237" t="s">
        <v>111</v>
      </c>
      <c r="B19" s="238" t="s">
        <v>57</v>
      </c>
      <c r="C19" s="239" t="str">
        <f>VLOOKUP(B19,OpenOffices25[#All],2,FALSE)</f>
        <v>Office Type H (Open)</v>
      </c>
      <c r="D19" s="237" t="s">
        <v>32</v>
      </c>
      <c r="E19" s="267">
        <f>VLOOKUP(C19,OfficeTypeSF22[#All],2,FALSE)</f>
        <v>20</v>
      </c>
      <c r="F19" s="237">
        <v>0</v>
      </c>
      <c r="G19" s="240">
        <f>E19*F19</f>
        <v>0</v>
      </c>
      <c r="H19" s="242"/>
      <c r="I19"/>
      <c r="J19"/>
      <c r="K19"/>
      <c r="L19"/>
      <c r="M19"/>
      <c r="N19"/>
      <c r="O19"/>
      <c r="P19"/>
    </row>
    <row r="20" spans="1:16" s="22" customFormat="1" x14ac:dyDescent="0.4">
      <c r="A20" s="397" t="s">
        <v>58</v>
      </c>
      <c r="B20" s="398"/>
      <c r="C20" s="398"/>
      <c r="D20" s="398"/>
      <c r="E20" s="243" t="s">
        <v>42</v>
      </c>
      <c r="F20" s="272">
        <f>SUM(F17:F19)</f>
        <v>0</v>
      </c>
      <c r="G20" s="244">
        <f>SUM(G17:G19)</f>
        <v>0</v>
      </c>
      <c r="H20" s="242"/>
      <c r="I20"/>
      <c r="J20"/>
      <c r="K20"/>
      <c r="L20"/>
      <c r="M20"/>
      <c r="N20"/>
      <c r="O20"/>
      <c r="P20"/>
    </row>
    <row r="21" spans="1:16" s="22" customFormat="1" ht="14.5" customHeight="1" x14ac:dyDescent="0.4">
      <c r="A21" s="399" t="s">
        <v>59</v>
      </c>
      <c r="B21" s="400"/>
      <c r="C21" s="400"/>
      <c r="D21" s="400"/>
      <c r="E21" s="245">
        <v>0.6</v>
      </c>
      <c r="F21" s="237"/>
      <c r="G21" s="246">
        <f>G20*E21</f>
        <v>0</v>
      </c>
      <c r="H21" s="242" t="s">
        <v>44</v>
      </c>
      <c r="I21"/>
      <c r="J21"/>
      <c r="K21"/>
      <c r="L21"/>
      <c r="M21"/>
      <c r="N21"/>
      <c r="O21"/>
      <c r="P21"/>
    </row>
    <row r="22" spans="1:16" s="23" customFormat="1" ht="15.9" x14ac:dyDescent="0.4">
      <c r="A22" s="397" t="s">
        <v>60</v>
      </c>
      <c r="B22" s="398"/>
      <c r="C22" s="398"/>
      <c r="D22" s="398"/>
      <c r="E22" s="243" t="s">
        <v>42</v>
      </c>
      <c r="F22" s="243"/>
      <c r="G22" s="244">
        <f>G21+G20</f>
        <v>0</v>
      </c>
      <c r="H22" s="247"/>
      <c r="I22"/>
      <c r="J22"/>
      <c r="K22"/>
      <c r="L22"/>
      <c r="M22"/>
      <c r="N22"/>
      <c r="O22"/>
      <c r="P22"/>
    </row>
    <row r="23" spans="1:16" x14ac:dyDescent="0.4">
      <c r="A23" s="415"/>
      <c r="B23" s="402"/>
      <c r="C23" s="402"/>
      <c r="D23" s="402"/>
      <c r="E23" s="402"/>
      <c r="F23" s="402"/>
      <c r="G23" s="402"/>
      <c r="H23" s="403"/>
    </row>
    <row r="24" spans="1:16" s="4" customFormat="1" ht="15.9" x14ac:dyDescent="0.4">
      <c r="A24" s="410" t="s">
        <v>61</v>
      </c>
      <c r="B24" s="410"/>
      <c r="C24" s="410"/>
      <c r="D24" s="410"/>
      <c r="E24" s="410"/>
      <c r="F24" s="410"/>
      <c r="G24" s="410"/>
      <c r="H24" s="410"/>
      <c r="I24"/>
      <c r="J24"/>
      <c r="K24"/>
      <c r="L24"/>
      <c r="M24"/>
      <c r="N24"/>
      <c r="O24"/>
      <c r="P24"/>
    </row>
    <row r="25" spans="1:16" s="4" customFormat="1" ht="58.3" x14ac:dyDescent="0.4">
      <c r="A25" s="411" t="s">
        <v>62</v>
      </c>
      <c r="B25" s="411"/>
      <c r="C25" s="411"/>
      <c r="D25" s="411"/>
      <c r="E25" s="202">
        <f>VLOOKUP(A25,AdminSpecialPurpose26[#All],2,TRUE)</f>
        <v>8</v>
      </c>
      <c r="F25" s="248">
        <f>F12+F20</f>
        <v>2</v>
      </c>
      <c r="G25" s="269">
        <f>E25*F25</f>
        <v>16</v>
      </c>
      <c r="H25" s="270" t="s">
        <v>63</v>
      </c>
      <c r="I25"/>
      <c r="J25"/>
      <c r="K25"/>
      <c r="L25"/>
      <c r="M25"/>
      <c r="N25"/>
      <c r="O25"/>
      <c r="P25"/>
    </row>
    <row r="26" spans="1:16" s="4" customFormat="1" ht="29.15" x14ac:dyDescent="0.4">
      <c r="A26" s="411" t="s">
        <v>65</v>
      </c>
      <c r="B26" s="413"/>
      <c r="C26" s="413"/>
      <c r="D26" s="413"/>
      <c r="E26" s="202">
        <f>VLOOKUP(A26,AdminSpecialPurpose26[#All],2,TRUE)</f>
        <v>3</v>
      </c>
      <c r="F26" s="249">
        <f>(F12+F20)</f>
        <v>2</v>
      </c>
      <c r="G26" s="269">
        <f>MAX(E26*F26,50)</f>
        <v>50</v>
      </c>
      <c r="H26" s="270" t="s">
        <v>66</v>
      </c>
      <c r="I26"/>
      <c r="J26"/>
      <c r="K26"/>
      <c r="L26"/>
      <c r="M26"/>
      <c r="N26"/>
      <c r="O26"/>
      <c r="P26"/>
    </row>
    <row r="27" spans="1:16" s="4" customFormat="1" ht="15.9" x14ac:dyDescent="0.4">
      <c r="A27" s="411" t="s">
        <v>69</v>
      </c>
      <c r="B27" s="413"/>
      <c r="C27" s="413"/>
      <c r="D27" s="413"/>
      <c r="E27" s="202">
        <f>VLOOKUP(A27,AdminSpecialPurpose26[#All],2,TRUE)</f>
        <v>20</v>
      </c>
      <c r="F27" s="249">
        <v>4</v>
      </c>
      <c r="G27" s="269">
        <f>MAX(E27*F27,50)</f>
        <v>80</v>
      </c>
      <c r="H27" s="270" t="s">
        <v>3616</v>
      </c>
      <c r="I27"/>
      <c r="J27"/>
      <c r="K27"/>
      <c r="L27"/>
      <c r="M27"/>
      <c r="N27"/>
      <c r="O27"/>
      <c r="P27"/>
    </row>
    <row r="28" spans="1:16" s="4" customFormat="1" ht="15.9" x14ac:dyDescent="0.4">
      <c r="A28" s="411" t="s">
        <v>112</v>
      </c>
      <c r="B28" s="413"/>
      <c r="C28" s="413"/>
      <c r="D28" s="413"/>
      <c r="E28" s="202">
        <f>VLOOKUP(A28,AdminSpecialPurpose26[#All],2,TRUE)</f>
        <v>36</v>
      </c>
      <c r="F28" s="249">
        <v>1</v>
      </c>
      <c r="G28" s="269">
        <f>E28*F28</f>
        <v>36</v>
      </c>
      <c r="H28" s="250" t="s">
        <v>113</v>
      </c>
      <c r="I28"/>
      <c r="J28"/>
      <c r="K28"/>
      <c r="L28"/>
      <c r="M28"/>
      <c r="N28"/>
      <c r="O28"/>
      <c r="P28"/>
    </row>
    <row r="29" spans="1:16" s="4" customFormat="1" ht="29.15" x14ac:dyDescent="0.4">
      <c r="A29" s="411" t="s">
        <v>5339</v>
      </c>
      <c r="B29" s="413"/>
      <c r="C29" s="413"/>
      <c r="D29" s="413"/>
      <c r="E29" s="202">
        <f>VLOOKUP(A29,AdminSpecialPurpose26[#All],2,TRUE)</f>
        <v>100</v>
      </c>
      <c r="F29" s="249">
        <v>1</v>
      </c>
      <c r="G29" s="269">
        <f>MAX(E29*F29)</f>
        <v>100</v>
      </c>
      <c r="H29" s="270" t="s">
        <v>3617</v>
      </c>
      <c r="I29"/>
      <c r="J29"/>
      <c r="K29"/>
      <c r="L29"/>
      <c r="M29"/>
      <c r="N29"/>
      <c r="O29"/>
      <c r="P29"/>
    </row>
    <row r="30" spans="1:16" x14ac:dyDescent="0.4">
      <c r="A30" s="412" t="s">
        <v>76</v>
      </c>
      <c r="B30" s="412"/>
      <c r="C30" s="412"/>
      <c r="D30" s="412"/>
      <c r="E30" s="272" t="s">
        <v>42</v>
      </c>
      <c r="F30" s="251"/>
      <c r="G30" s="276">
        <f>SUM(G25:G29)</f>
        <v>282</v>
      </c>
      <c r="H30" s="270"/>
    </row>
    <row r="31" spans="1:16" x14ac:dyDescent="0.4">
      <c r="A31" s="407" t="s">
        <v>77</v>
      </c>
      <c r="B31" s="408"/>
      <c r="C31" s="408"/>
      <c r="D31" s="408"/>
      <c r="E31" s="275">
        <v>0.4</v>
      </c>
      <c r="F31" s="267"/>
      <c r="G31" s="252">
        <f>E31*G30</f>
        <v>112.80000000000001</v>
      </c>
      <c r="H31" s="270" t="s">
        <v>44</v>
      </c>
    </row>
    <row r="32" spans="1:16" x14ac:dyDescent="0.4">
      <c r="A32" s="412" t="s">
        <v>78</v>
      </c>
      <c r="B32" s="413"/>
      <c r="C32" s="413"/>
      <c r="D32" s="413"/>
      <c r="E32" s="271" t="s">
        <v>42</v>
      </c>
      <c r="F32" s="253"/>
      <c r="G32" s="276">
        <f>SUM(G30:G31)</f>
        <v>394.8</v>
      </c>
      <c r="H32" s="270"/>
    </row>
    <row r="33" spans="1:16" x14ac:dyDescent="0.4">
      <c r="A33" s="413"/>
      <c r="B33" s="413"/>
      <c r="C33" s="413"/>
      <c r="D33" s="413"/>
      <c r="E33" s="413"/>
      <c r="F33" s="413"/>
      <c r="G33" s="413"/>
      <c r="H33" s="413"/>
    </row>
    <row r="34" spans="1:16" s="4" customFormat="1" ht="15.9" x14ac:dyDescent="0.4">
      <c r="A34" s="410" t="s">
        <v>79</v>
      </c>
      <c r="B34" s="409"/>
      <c r="C34" s="409"/>
      <c r="D34" s="409"/>
      <c r="E34" s="409"/>
      <c r="F34" s="409"/>
      <c r="G34" s="409"/>
      <c r="H34" s="409"/>
      <c r="I34"/>
      <c r="J34"/>
      <c r="K34"/>
      <c r="L34"/>
      <c r="M34"/>
      <c r="N34"/>
      <c r="O34"/>
      <c r="P34"/>
    </row>
    <row r="35" spans="1:16" ht="14.5" customHeight="1" x14ac:dyDescent="0.4">
      <c r="A35" s="416" t="s">
        <v>114</v>
      </c>
      <c r="B35" s="417"/>
      <c r="C35" s="417"/>
      <c r="D35" s="418"/>
      <c r="E35" s="267">
        <v>40</v>
      </c>
      <c r="F35" s="254">
        <v>1</v>
      </c>
      <c r="G35" s="269">
        <f>E35*F35</f>
        <v>40</v>
      </c>
      <c r="H35" s="270" t="s">
        <v>115</v>
      </c>
    </row>
    <row r="36" spans="1:16" ht="14.5" customHeight="1" x14ac:dyDescent="0.4">
      <c r="A36" s="416" t="s">
        <v>116</v>
      </c>
      <c r="B36" s="417"/>
      <c r="C36" s="417"/>
      <c r="D36" s="418"/>
      <c r="E36" s="267" t="s">
        <v>103</v>
      </c>
      <c r="F36" s="254">
        <v>1</v>
      </c>
      <c r="G36" s="269">
        <v>0</v>
      </c>
      <c r="H36" s="270" t="s">
        <v>115</v>
      </c>
    </row>
    <row r="37" spans="1:16" ht="14.5" customHeight="1" x14ac:dyDescent="0.4">
      <c r="A37" s="416" t="s">
        <v>117</v>
      </c>
      <c r="B37" s="417"/>
      <c r="C37" s="417"/>
      <c r="D37" s="418"/>
      <c r="E37" s="267">
        <v>20</v>
      </c>
      <c r="F37" s="254">
        <v>1</v>
      </c>
      <c r="G37" s="269">
        <f>E37*F37</f>
        <v>20</v>
      </c>
      <c r="H37" s="270" t="s">
        <v>115</v>
      </c>
    </row>
    <row r="38" spans="1:16" ht="14.5" customHeight="1" x14ac:dyDescent="0.4">
      <c r="A38" s="416" t="s">
        <v>3615</v>
      </c>
      <c r="B38" s="417"/>
      <c r="C38" s="417"/>
      <c r="D38" s="418"/>
      <c r="E38" s="267"/>
      <c r="F38" s="254">
        <v>1</v>
      </c>
      <c r="G38" s="269">
        <f>E38*F38</f>
        <v>0</v>
      </c>
      <c r="H38" s="270"/>
    </row>
    <row r="39" spans="1:16" x14ac:dyDescent="0.4">
      <c r="A39" s="412" t="s">
        <v>90</v>
      </c>
      <c r="B39" s="412"/>
      <c r="C39" s="412"/>
      <c r="D39" s="412"/>
      <c r="E39" s="272" t="s">
        <v>42</v>
      </c>
      <c r="F39" s="251"/>
      <c r="G39" s="276">
        <f>SUM(G35:G38)</f>
        <v>60</v>
      </c>
      <c r="H39" s="270"/>
    </row>
    <row r="40" spans="1:16" x14ac:dyDescent="0.4">
      <c r="A40" s="407" t="s">
        <v>91</v>
      </c>
      <c r="B40" s="408"/>
      <c r="C40" s="408"/>
      <c r="D40" s="408"/>
      <c r="E40" s="275">
        <v>0.4</v>
      </c>
      <c r="F40" s="267"/>
      <c r="G40" s="252">
        <f>E40*G39</f>
        <v>24</v>
      </c>
      <c r="H40" s="270" t="s">
        <v>44</v>
      </c>
    </row>
    <row r="41" spans="1:16" x14ac:dyDescent="0.4">
      <c r="A41" s="412" t="s">
        <v>92</v>
      </c>
      <c r="B41" s="413"/>
      <c r="C41" s="413"/>
      <c r="D41" s="413"/>
      <c r="E41" s="271" t="s">
        <v>42</v>
      </c>
      <c r="F41" s="253"/>
      <c r="G41" s="276">
        <f>SUM(G39:G40)</f>
        <v>84</v>
      </c>
      <c r="H41" s="270"/>
    </row>
    <row r="42" spans="1:16" x14ac:dyDescent="0.4">
      <c r="A42" s="413"/>
      <c r="B42" s="413"/>
      <c r="C42" s="413"/>
      <c r="D42" s="413"/>
      <c r="E42" s="413"/>
      <c r="F42" s="413"/>
      <c r="G42" s="413"/>
      <c r="H42" s="413"/>
    </row>
    <row r="43" spans="1:16" s="4" customFormat="1" ht="15.9" x14ac:dyDescent="0.4">
      <c r="A43" s="410" t="s">
        <v>93</v>
      </c>
      <c r="B43" s="409"/>
      <c r="C43" s="409"/>
      <c r="D43" s="409"/>
      <c r="E43" s="409"/>
      <c r="F43" s="409"/>
      <c r="G43" s="409"/>
      <c r="H43" s="409"/>
      <c r="I43"/>
      <c r="J43"/>
      <c r="K43"/>
      <c r="L43"/>
      <c r="M43"/>
      <c r="N43"/>
      <c r="O43"/>
      <c r="P43"/>
    </row>
    <row r="44" spans="1:16" x14ac:dyDescent="0.4">
      <c r="A44" s="414" t="s">
        <v>94</v>
      </c>
      <c r="B44" s="413"/>
      <c r="C44" s="413"/>
      <c r="D44" s="413"/>
      <c r="E44" s="255" t="s">
        <v>95</v>
      </c>
      <c r="F44" s="256"/>
      <c r="G44" s="252">
        <f>G41+G32+G14+G22</f>
        <v>758.8</v>
      </c>
      <c r="H44" s="274"/>
    </row>
    <row r="45" spans="1:16" ht="14.5" customHeight="1" x14ac:dyDescent="0.4">
      <c r="A45" s="414" t="s">
        <v>96</v>
      </c>
      <c r="B45" s="411"/>
      <c r="C45" s="411"/>
      <c r="D45" s="411"/>
      <c r="E45" s="275">
        <v>0.42</v>
      </c>
      <c r="F45" s="268"/>
      <c r="G45" s="269">
        <f>G44*E45</f>
        <v>318.69599999999997</v>
      </c>
      <c r="H45" s="270" t="s">
        <v>97</v>
      </c>
    </row>
    <row r="46" spans="1:16" x14ac:dyDescent="0.4">
      <c r="E46" s="272" t="s">
        <v>98</v>
      </c>
      <c r="F46" s="257"/>
      <c r="G46" s="276">
        <f>SUM(G44:G45)</f>
        <v>1077.4959999999999</v>
      </c>
    </row>
  </sheetData>
  <mergeCells count="37">
    <mergeCell ref="A35:D35"/>
    <mergeCell ref="A36:D36"/>
    <mergeCell ref="A43:H43"/>
    <mergeCell ref="A44:D44"/>
    <mergeCell ref="A45:D45"/>
    <mergeCell ref="A39:D39"/>
    <mergeCell ref="A40:D40"/>
    <mergeCell ref="A41:D41"/>
    <mergeCell ref="A42:H42"/>
    <mergeCell ref="A37:D37"/>
    <mergeCell ref="A38:D38"/>
    <mergeCell ref="A30:D30"/>
    <mergeCell ref="A31:D31"/>
    <mergeCell ref="A32:D32"/>
    <mergeCell ref="A33:H33"/>
    <mergeCell ref="A34:H34"/>
    <mergeCell ref="A23:H23"/>
    <mergeCell ref="A24:H24"/>
    <mergeCell ref="A25:D25"/>
    <mergeCell ref="A26:D26"/>
    <mergeCell ref="A27:D27"/>
    <mergeCell ref="A7:G7"/>
    <mergeCell ref="A28:D28"/>
    <mergeCell ref="A29:D29"/>
    <mergeCell ref="A1:B1"/>
    <mergeCell ref="A2:B2"/>
    <mergeCell ref="A3:B3"/>
    <mergeCell ref="A4:B4"/>
    <mergeCell ref="A5:B5"/>
    <mergeCell ref="A12:D12"/>
    <mergeCell ref="A13:D13"/>
    <mergeCell ref="A14:D14"/>
    <mergeCell ref="A15:H15"/>
    <mergeCell ref="A16:H16"/>
    <mergeCell ref="A20:D20"/>
    <mergeCell ref="A21:D21"/>
    <mergeCell ref="A22:D22"/>
  </mergeCells>
  <dataValidations count="1">
    <dataValidation allowBlank="1" showErrorMessage="1" promptTitle="SF Authorized" prompt="Auto-populates" sqref="E8:E11 E17:E19" xr:uid="{AAB65861-E0FC-436D-8ED0-A46D9F390C4B}"/>
  </dataValidations>
  <hyperlinks>
    <hyperlink ref="H6" r:id="rId1" display="WBDG - AFMAN 32-1084" xr:uid="{738999FD-71CB-4FA6-AB25-A7D202A116EC}"/>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F20F8ADD-B5D7-4535-9B67-6769330DE704}">
          <x14:formula1>
            <xm:f>'Sheet References'!$E$1:$E$116</xm:f>
          </x14:formula1>
          <xm:sqref>D8:D11 D17:D19</xm:sqref>
        </x14:dataValidation>
        <x14:dataValidation type="list" allowBlank="1" showInputMessage="1" showErrorMessage="1" xr:uid="{2B23604F-0AE7-4D9D-A302-C2F734CD4F95}">
          <x14:formula1>
            <xm:f>'Sheet References'!$A$14:$A$52</xm:f>
          </x14:formula1>
          <xm:sqref>B8:B11</xm:sqref>
        </x14:dataValidation>
        <x14:dataValidation type="list" allowBlank="1" showInputMessage="1" showErrorMessage="1" xr:uid="{4182D4E8-75DC-4FA9-971B-AB59F54F1A50}">
          <x14:formula1>
            <xm:f>'Sheet References'!$H$1:$H$46</xm:f>
          </x14:formula1>
          <xm:sqref>A25:D29</xm:sqref>
        </x14:dataValidation>
        <x14:dataValidation type="list" allowBlank="1" showInputMessage="1" showErrorMessage="1" xr:uid="{D4F43E8B-A2FE-4F77-9C3F-3564C91847CC}">
          <x14:formula1>
            <xm:f>'Sheet References'!$A$57:$A$76</xm:f>
          </x14:formula1>
          <xm:sqref>B17:B19</xm:sqref>
        </x14:dataValidation>
        <x14:dataValidation type="list" allowBlank="1" showInputMessage="1" showErrorMessage="1" xr:uid="{989EAD70-159E-4B1B-9999-C7ABC14F9B19}">
          <x14:formula1>
            <xm:f>'Sheet References'!$L$1:$L$874</xm:f>
          </x14:formula1>
          <xm:sqref>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344A7-23D9-4985-A90D-28F1E9E328F7}">
  <sheetPr>
    <tabColor rgb="FF00B050"/>
    <pageSetUpPr fitToPage="1"/>
  </sheetPr>
  <dimension ref="A1:P41"/>
  <sheetViews>
    <sheetView zoomScale="80" zoomScaleNormal="80" workbookViewId="0">
      <selection activeCell="G22" sqref="G2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194"/>
      <c r="D1" s="194" t="s">
        <v>15</v>
      </c>
      <c r="E1" s="195">
        <v>140421</v>
      </c>
      <c r="F1" s="196"/>
      <c r="G1" s="196"/>
      <c r="H1" s="196"/>
      <c r="I1"/>
      <c r="J1"/>
      <c r="K1"/>
      <c r="L1"/>
      <c r="M1"/>
      <c r="N1"/>
      <c r="O1"/>
      <c r="P1"/>
    </row>
    <row r="2" spans="1:16" ht="21" customHeight="1" x14ac:dyDescent="0.4">
      <c r="A2" s="405" t="s">
        <v>3627</v>
      </c>
      <c r="B2" s="405"/>
      <c r="C2" s="196"/>
      <c r="D2" s="194" t="s">
        <v>16</v>
      </c>
      <c r="E2" s="195" t="str">
        <f>VLOOKUP(E1,'Sheet References'!L1:M972,2,FALSE)</f>
        <v>Emergency Operations Center</v>
      </c>
      <c r="F2" s="196"/>
      <c r="G2" s="196"/>
      <c r="H2" s="196"/>
    </row>
    <row r="3" spans="1:16" ht="21" customHeight="1" x14ac:dyDescent="0.4">
      <c r="A3" s="405" t="s">
        <v>11</v>
      </c>
      <c r="B3" s="405"/>
      <c r="C3" s="194"/>
      <c r="D3" s="194" t="s">
        <v>17</v>
      </c>
      <c r="E3" s="195" t="str">
        <f>VLOOKUP(CATCode,'Sheet References'!L:O,4,FALSE)</f>
        <v>‌https://www.wbdg.org/FFC/AF/AFMAN/140421_Emergency_Operations_Center.pdf</v>
      </c>
      <c r="F3" s="196"/>
      <c r="G3" s="196"/>
      <c r="H3" s="196"/>
    </row>
    <row r="4" spans="1:16" ht="21" customHeight="1" x14ac:dyDescent="0.4">
      <c r="A4" s="405" t="s">
        <v>12</v>
      </c>
      <c r="B4" s="405"/>
      <c r="C4" s="35"/>
      <c r="D4" s="35"/>
      <c r="E4" s="197" t="str">
        <f>'Customer Summary'!A2</f>
        <v>XX Civil Engineer Squadron (XX CES)</v>
      </c>
      <c r="F4" s="35"/>
      <c r="G4" s="35"/>
      <c r="H4" s="35"/>
    </row>
    <row r="5" spans="1:16" ht="21" customHeight="1" x14ac:dyDescent="0.4">
      <c r="A5" s="406" t="str">
        <f>'Customer Summary'!B33</f>
        <v>POC: [CE unit designation (i.e. 99 CES)]</v>
      </c>
      <c r="B5" s="406"/>
      <c r="C5" s="35"/>
      <c r="D5" s="35"/>
      <c r="E5" s="197" t="s">
        <v>18</v>
      </c>
      <c r="F5" s="35"/>
      <c r="G5" s="35"/>
      <c r="H5" s="35"/>
    </row>
    <row r="6" spans="1:16" s="4" customFormat="1" ht="31.75" x14ac:dyDescent="0.4">
      <c r="A6" s="198" t="s">
        <v>20</v>
      </c>
      <c r="B6" s="198" t="s">
        <v>21</v>
      </c>
      <c r="C6" s="198" t="s">
        <v>22</v>
      </c>
      <c r="D6" s="198" t="s">
        <v>23</v>
      </c>
      <c r="E6" s="198" t="s">
        <v>24</v>
      </c>
      <c r="F6" s="198" t="s">
        <v>25</v>
      </c>
      <c r="G6" s="199" t="s">
        <v>26</v>
      </c>
      <c r="H6" s="200" t="s">
        <v>27</v>
      </c>
      <c r="I6"/>
      <c r="J6"/>
      <c r="K6"/>
      <c r="L6"/>
      <c r="M6"/>
      <c r="N6"/>
      <c r="O6"/>
      <c r="P6"/>
    </row>
    <row r="7" spans="1:16" s="4" customFormat="1" ht="29.15" x14ac:dyDescent="0.4">
      <c r="A7" s="391" t="s">
        <v>28</v>
      </c>
      <c r="B7" s="391"/>
      <c r="C7" s="391"/>
      <c r="D7" s="391"/>
      <c r="E7" s="391"/>
      <c r="F7" s="391"/>
      <c r="G7" s="391"/>
      <c r="H7" s="206" t="s">
        <v>29</v>
      </c>
      <c r="I7"/>
      <c r="J7"/>
      <c r="K7"/>
      <c r="L7"/>
      <c r="M7"/>
      <c r="N7"/>
      <c r="O7"/>
      <c r="P7"/>
    </row>
    <row r="8" spans="1:16" x14ac:dyDescent="0.4">
      <c r="A8" s="237" t="s">
        <v>3675</v>
      </c>
      <c r="B8" s="207" t="s">
        <v>108</v>
      </c>
      <c r="C8" s="268" t="str">
        <f>VLOOKUP(B8,'Sheet References'!$A$14:$B$68,2,FALSE)</f>
        <v>Office Type D (Private)</v>
      </c>
      <c r="D8" s="203" t="s">
        <v>32</v>
      </c>
      <c r="E8" s="267">
        <f>VLOOKUP(C8,OfficeTypeSF22[#All],2,FALSE)</f>
        <v>100</v>
      </c>
      <c r="F8" s="203">
        <v>0</v>
      </c>
      <c r="G8" s="202">
        <f t="shared" ref="G8" si="0">E8*F8</f>
        <v>0</v>
      </c>
      <c r="H8" s="190" t="s">
        <v>3676</v>
      </c>
    </row>
    <row r="9" spans="1:16" x14ac:dyDescent="0.4">
      <c r="A9" s="394" t="s">
        <v>41</v>
      </c>
      <c r="B9" s="395"/>
      <c r="C9" s="395"/>
      <c r="D9" s="395"/>
      <c r="E9" s="211" t="s">
        <v>42</v>
      </c>
      <c r="F9" s="204">
        <f>SUM(F8:F8)</f>
        <v>0</v>
      </c>
      <c r="G9" s="212">
        <f>SUM(G8:G8)</f>
        <v>0</v>
      </c>
      <c r="H9" s="208"/>
    </row>
    <row r="10" spans="1:16" ht="14.5" customHeight="1" x14ac:dyDescent="0.4">
      <c r="A10" s="393" t="s">
        <v>43</v>
      </c>
      <c r="B10" s="392"/>
      <c r="C10" s="392"/>
      <c r="D10" s="392"/>
      <c r="E10" s="213">
        <v>0.4</v>
      </c>
      <c r="F10" s="203"/>
      <c r="G10" s="202">
        <f>G9*E10</f>
        <v>0</v>
      </c>
      <c r="H10" s="190" t="s">
        <v>44</v>
      </c>
    </row>
    <row r="11" spans="1:16" x14ac:dyDescent="0.4">
      <c r="A11" s="394" t="s">
        <v>45</v>
      </c>
      <c r="B11" s="395"/>
      <c r="C11" s="395"/>
      <c r="D11" s="395"/>
      <c r="E11" s="211" t="s">
        <v>42</v>
      </c>
      <c r="F11" s="211"/>
      <c r="G11" s="205">
        <f>G10+G9</f>
        <v>0</v>
      </c>
      <c r="H11" s="208"/>
    </row>
    <row r="12" spans="1:16" x14ac:dyDescent="0.4">
      <c r="A12" s="401"/>
      <c r="B12" s="402"/>
      <c r="C12" s="402"/>
      <c r="D12" s="402"/>
      <c r="E12" s="402"/>
      <c r="F12" s="402"/>
      <c r="G12" s="402"/>
      <c r="H12" s="403"/>
    </row>
    <row r="13" spans="1:16" s="22" customFormat="1" ht="15.9" x14ac:dyDescent="0.4">
      <c r="A13" s="396" t="s">
        <v>46</v>
      </c>
      <c r="B13" s="396"/>
      <c r="C13" s="396"/>
      <c r="D13" s="396"/>
      <c r="E13" s="396"/>
      <c r="F13" s="396"/>
      <c r="G13" s="396"/>
      <c r="H13" s="396"/>
      <c r="I13"/>
      <c r="J13"/>
      <c r="K13"/>
      <c r="L13"/>
      <c r="M13"/>
      <c r="N13"/>
      <c r="O13"/>
      <c r="P13"/>
    </row>
    <row r="14" spans="1:16" s="22" customFormat="1" x14ac:dyDescent="0.4">
      <c r="A14" s="237" t="s">
        <v>3665</v>
      </c>
      <c r="B14" s="238" t="s">
        <v>54</v>
      </c>
      <c r="C14" s="239" t="str">
        <f>VLOOKUP(B14,OpenOffices25[#All],2,FALSE)</f>
        <v>Office Type F (Open)</v>
      </c>
      <c r="D14" s="237" t="s">
        <v>255</v>
      </c>
      <c r="E14" s="267">
        <f>VLOOKUP(C14,OfficeTypeSF22[#All],2,FALSE)</f>
        <v>36</v>
      </c>
      <c r="F14" s="237">
        <v>2</v>
      </c>
      <c r="G14" s="240">
        <f t="shared" ref="G14:G16" si="1">E14*F14</f>
        <v>72</v>
      </c>
      <c r="H14" s="242"/>
      <c r="I14"/>
      <c r="J14"/>
      <c r="K14"/>
      <c r="L14"/>
      <c r="M14"/>
      <c r="N14"/>
      <c r="O14"/>
      <c r="P14"/>
    </row>
    <row r="15" spans="1:16" s="22" customFormat="1" x14ac:dyDescent="0.4">
      <c r="A15" s="237" t="s">
        <v>3666</v>
      </c>
      <c r="B15" s="238" t="s">
        <v>482</v>
      </c>
      <c r="C15" s="239" t="str">
        <f>VLOOKUP(B15,OpenOffices25[#All],2,FALSE)</f>
        <v>Office Type G (Open)</v>
      </c>
      <c r="D15" s="237" t="s">
        <v>255</v>
      </c>
      <c r="E15" s="267">
        <f>VLOOKUP(C15,OfficeTypeSF22[#All],2,FALSE)</f>
        <v>36</v>
      </c>
      <c r="F15" s="237">
        <v>18</v>
      </c>
      <c r="G15" s="240">
        <f t="shared" si="1"/>
        <v>648</v>
      </c>
      <c r="H15" s="241" t="s">
        <v>3667</v>
      </c>
      <c r="I15"/>
      <c r="J15"/>
      <c r="K15"/>
      <c r="L15"/>
      <c r="M15"/>
      <c r="N15"/>
      <c r="O15"/>
      <c r="P15"/>
    </row>
    <row r="16" spans="1:16" s="22" customFormat="1" x14ac:dyDescent="0.4">
      <c r="A16" s="237" t="s">
        <v>112</v>
      </c>
      <c r="B16" s="238" t="s">
        <v>482</v>
      </c>
      <c r="C16" s="239" t="str">
        <f>VLOOKUP(B16,OpenOffices25[#All],2,FALSE)</f>
        <v>Office Type G (Open)</v>
      </c>
      <c r="D16" s="237" t="s">
        <v>255</v>
      </c>
      <c r="E16" s="267">
        <f>VLOOKUP(C16,OfficeTypeSF22[#All],2,FALSE)</f>
        <v>36</v>
      </c>
      <c r="F16" s="237">
        <v>1</v>
      </c>
      <c r="G16" s="240">
        <f t="shared" si="1"/>
        <v>36</v>
      </c>
      <c r="H16" s="242"/>
      <c r="I16"/>
      <c r="J16"/>
      <c r="K16"/>
      <c r="L16"/>
      <c r="M16"/>
      <c r="N16"/>
      <c r="O16"/>
      <c r="P16"/>
    </row>
    <row r="17" spans="1:16" s="22" customFormat="1" x14ac:dyDescent="0.4">
      <c r="A17" s="397" t="s">
        <v>58</v>
      </c>
      <c r="B17" s="398"/>
      <c r="C17" s="398"/>
      <c r="D17" s="398"/>
      <c r="E17" s="243" t="s">
        <v>42</v>
      </c>
      <c r="F17" s="204">
        <f>SUM(F14:F16)</f>
        <v>21</v>
      </c>
      <c r="G17" s="244">
        <f>SUM(G14:G16)</f>
        <v>756</v>
      </c>
      <c r="H17" s="242"/>
      <c r="I17"/>
      <c r="J17"/>
      <c r="K17"/>
      <c r="L17"/>
      <c r="M17"/>
      <c r="N17"/>
      <c r="O17"/>
      <c r="P17"/>
    </row>
    <row r="18" spans="1:16" s="22" customFormat="1" ht="14.5" customHeight="1" x14ac:dyDescent="0.4">
      <c r="A18" s="399" t="s">
        <v>59</v>
      </c>
      <c r="B18" s="400"/>
      <c r="C18" s="400"/>
      <c r="D18" s="400"/>
      <c r="E18" s="245">
        <v>0.6</v>
      </c>
      <c r="F18" s="237"/>
      <c r="G18" s="246">
        <f>G17*E18</f>
        <v>453.59999999999997</v>
      </c>
      <c r="H18" s="242" t="s">
        <v>44</v>
      </c>
      <c r="I18"/>
      <c r="J18"/>
      <c r="K18"/>
      <c r="L18"/>
      <c r="M18"/>
      <c r="N18"/>
      <c r="O18"/>
      <c r="P18"/>
    </row>
    <row r="19" spans="1:16" s="23" customFormat="1" ht="15.9" x14ac:dyDescent="0.4">
      <c r="A19" s="397" t="s">
        <v>60</v>
      </c>
      <c r="B19" s="398"/>
      <c r="C19" s="398"/>
      <c r="D19" s="398"/>
      <c r="E19" s="243" t="s">
        <v>42</v>
      </c>
      <c r="F19" s="243"/>
      <c r="G19" s="244">
        <f>G18+G17</f>
        <v>1209.5999999999999</v>
      </c>
      <c r="H19" s="247"/>
      <c r="I19"/>
      <c r="J19"/>
      <c r="K19"/>
      <c r="L19"/>
      <c r="M19"/>
      <c r="N19"/>
      <c r="O19"/>
      <c r="P19"/>
    </row>
    <row r="20" spans="1:16" x14ac:dyDescent="0.4">
      <c r="A20" s="401"/>
      <c r="B20" s="402"/>
      <c r="C20" s="402"/>
      <c r="D20" s="402"/>
      <c r="E20" s="402"/>
      <c r="F20" s="402"/>
      <c r="G20" s="402"/>
      <c r="H20" s="403"/>
    </row>
    <row r="21" spans="1:16" s="4" customFormat="1" ht="15.9" x14ac:dyDescent="0.4">
      <c r="A21" s="391" t="s">
        <v>61</v>
      </c>
      <c r="B21" s="391"/>
      <c r="C21" s="391"/>
      <c r="D21" s="391"/>
      <c r="E21" s="391"/>
      <c r="F21" s="391"/>
      <c r="G21" s="391"/>
      <c r="H21" s="391"/>
      <c r="I21"/>
      <c r="J21"/>
      <c r="K21"/>
      <c r="L21"/>
      <c r="M21"/>
      <c r="N21"/>
      <c r="O21"/>
      <c r="P21"/>
    </row>
    <row r="22" spans="1:16" s="4" customFormat="1" ht="43.75" x14ac:dyDescent="0.4">
      <c r="A22" s="392" t="s">
        <v>5341</v>
      </c>
      <c r="B22" s="392"/>
      <c r="C22" s="392"/>
      <c r="D22" s="392"/>
      <c r="E22" s="202" t="str">
        <f>VLOOKUP(A22,AdminSpecialPurpose26[#All],2,TRUE)</f>
        <v>(auto-populates)</v>
      </c>
      <c r="F22" s="248">
        <f>F9+F17</f>
        <v>21</v>
      </c>
      <c r="G22" s="202">
        <f>VLOOKUP(F22,MeetingSpace24[#All],6,TRUE)</f>
        <v>150</v>
      </c>
      <c r="H22" s="190" t="s">
        <v>64</v>
      </c>
      <c r="I22"/>
      <c r="J22"/>
      <c r="K22"/>
      <c r="L22"/>
      <c r="M22"/>
      <c r="N22"/>
      <c r="O22"/>
      <c r="P22"/>
    </row>
    <row r="23" spans="1:16" s="4" customFormat="1" ht="29.15" x14ac:dyDescent="0.4">
      <c r="A23" s="392" t="s">
        <v>65</v>
      </c>
      <c r="B23" s="395"/>
      <c r="C23" s="395"/>
      <c r="D23" s="395"/>
      <c r="E23" s="202">
        <f>VLOOKUP(A23,AdminSpecialPurpose26[#All],2,TRUE)</f>
        <v>3</v>
      </c>
      <c r="F23" s="249">
        <f>(F9+F17)</f>
        <v>21</v>
      </c>
      <c r="G23" s="202">
        <f>MAX(E23*F23,50)</f>
        <v>63</v>
      </c>
      <c r="H23" s="190" t="s">
        <v>66</v>
      </c>
      <c r="I23"/>
      <c r="J23"/>
      <c r="K23"/>
      <c r="L23"/>
      <c r="M23"/>
      <c r="N23"/>
      <c r="O23"/>
      <c r="P23"/>
    </row>
    <row r="24" spans="1:16" x14ac:dyDescent="0.4">
      <c r="A24" s="394" t="s">
        <v>76</v>
      </c>
      <c r="B24" s="394"/>
      <c r="C24" s="394"/>
      <c r="D24" s="394"/>
      <c r="E24" s="204" t="s">
        <v>42</v>
      </c>
      <c r="F24" s="251"/>
      <c r="G24" s="205">
        <f>SUM(G22:G23)</f>
        <v>213</v>
      </c>
      <c r="H24" s="190"/>
    </row>
    <row r="25" spans="1:16" x14ac:dyDescent="0.4">
      <c r="A25" s="407" t="s">
        <v>77</v>
      </c>
      <c r="B25" s="408"/>
      <c r="C25" s="408"/>
      <c r="D25" s="408"/>
      <c r="E25" s="213">
        <v>0.4</v>
      </c>
      <c r="F25" s="203"/>
      <c r="G25" s="252">
        <f>E25*G24</f>
        <v>85.2</v>
      </c>
      <c r="H25" s="190" t="s">
        <v>44</v>
      </c>
    </row>
    <row r="26" spans="1:16" x14ac:dyDescent="0.4">
      <c r="A26" s="394" t="s">
        <v>78</v>
      </c>
      <c r="B26" s="395"/>
      <c r="C26" s="395"/>
      <c r="D26" s="395"/>
      <c r="E26" s="211" t="s">
        <v>42</v>
      </c>
      <c r="F26" s="253"/>
      <c r="G26" s="205">
        <f>SUM(G24:G25)</f>
        <v>298.2</v>
      </c>
      <c r="H26" s="190"/>
    </row>
    <row r="27" spans="1:16" x14ac:dyDescent="0.4">
      <c r="A27" s="395"/>
      <c r="B27" s="395"/>
      <c r="C27" s="395"/>
      <c r="D27" s="395"/>
      <c r="E27" s="395"/>
      <c r="F27" s="395"/>
      <c r="G27" s="395"/>
      <c r="H27" s="395"/>
    </row>
    <row r="28" spans="1:16" s="4" customFormat="1" ht="15.9" x14ac:dyDescent="0.4">
      <c r="A28" s="391" t="s">
        <v>79</v>
      </c>
      <c r="B28" s="409"/>
      <c r="C28" s="409"/>
      <c r="D28" s="409"/>
      <c r="E28" s="409"/>
      <c r="F28" s="409"/>
      <c r="G28" s="409"/>
      <c r="H28" s="409"/>
      <c r="I28"/>
      <c r="J28"/>
      <c r="K28"/>
      <c r="L28"/>
      <c r="M28"/>
      <c r="N28"/>
      <c r="O28"/>
      <c r="P28"/>
    </row>
    <row r="29" spans="1:16" x14ac:dyDescent="0.4">
      <c r="A29" s="419" t="s">
        <v>3668</v>
      </c>
      <c r="B29" s="417"/>
      <c r="C29" s="417"/>
      <c r="D29" s="418"/>
      <c r="E29" s="203">
        <v>150</v>
      </c>
      <c r="F29" s="254">
        <v>1</v>
      </c>
      <c r="G29" s="202">
        <f t="shared" ref="G29:G33" si="2">E29*F29</f>
        <v>150</v>
      </c>
      <c r="H29" s="270" t="s">
        <v>3924</v>
      </c>
    </row>
    <row r="30" spans="1:16" x14ac:dyDescent="0.4">
      <c r="A30" s="419" t="s">
        <v>3669</v>
      </c>
      <c r="B30" s="417"/>
      <c r="C30" s="417"/>
      <c r="D30" s="418"/>
      <c r="E30" s="203">
        <v>45</v>
      </c>
      <c r="F30" s="254">
        <v>2</v>
      </c>
      <c r="G30" s="202">
        <f t="shared" si="2"/>
        <v>90</v>
      </c>
      <c r="H30" s="270" t="s">
        <v>3924</v>
      </c>
    </row>
    <row r="31" spans="1:16" x14ac:dyDescent="0.4">
      <c r="A31" s="419" t="s">
        <v>3672</v>
      </c>
      <c r="B31" s="417"/>
      <c r="C31" s="417"/>
      <c r="D31" s="418"/>
      <c r="E31" s="203"/>
      <c r="F31" s="254">
        <v>1</v>
      </c>
      <c r="G31" s="202">
        <f t="shared" si="2"/>
        <v>0</v>
      </c>
      <c r="H31" s="270" t="s">
        <v>3924</v>
      </c>
    </row>
    <row r="32" spans="1:16" x14ac:dyDescent="0.4">
      <c r="A32" s="419" t="s">
        <v>3670</v>
      </c>
      <c r="B32" s="417"/>
      <c r="C32" s="417"/>
      <c r="D32" s="418"/>
      <c r="E32" s="203"/>
      <c r="F32" s="254">
        <v>1</v>
      </c>
      <c r="G32" s="202">
        <f t="shared" si="2"/>
        <v>0</v>
      </c>
      <c r="H32" s="270"/>
    </row>
    <row r="33" spans="1:16" x14ac:dyDescent="0.4">
      <c r="A33" s="419" t="s">
        <v>3671</v>
      </c>
      <c r="B33" s="417"/>
      <c r="C33" s="417"/>
      <c r="D33" s="418"/>
      <c r="E33" s="203"/>
      <c r="F33" s="254">
        <v>1</v>
      </c>
      <c r="G33" s="202">
        <f t="shared" si="2"/>
        <v>0</v>
      </c>
      <c r="H33" s="208"/>
    </row>
    <row r="34" spans="1:16" x14ac:dyDescent="0.4">
      <c r="A34" s="394" t="s">
        <v>90</v>
      </c>
      <c r="B34" s="394"/>
      <c r="C34" s="394"/>
      <c r="D34" s="394"/>
      <c r="E34" s="204" t="s">
        <v>42</v>
      </c>
      <c r="F34" s="251"/>
      <c r="G34" s="205">
        <f>SUM(G29:G33)</f>
        <v>240</v>
      </c>
      <c r="H34" s="190"/>
    </row>
    <row r="35" spans="1:16" x14ac:dyDescent="0.4">
      <c r="A35" s="407" t="s">
        <v>91</v>
      </c>
      <c r="B35" s="408"/>
      <c r="C35" s="408"/>
      <c r="D35" s="408"/>
      <c r="E35" s="213">
        <v>0.4</v>
      </c>
      <c r="F35" s="203"/>
      <c r="G35" s="252">
        <f>E35*G34</f>
        <v>96</v>
      </c>
      <c r="H35" s="190" t="s">
        <v>44</v>
      </c>
    </row>
    <row r="36" spans="1:16" x14ac:dyDescent="0.4">
      <c r="A36" s="394" t="s">
        <v>92</v>
      </c>
      <c r="B36" s="395"/>
      <c r="C36" s="395"/>
      <c r="D36" s="395"/>
      <c r="E36" s="211" t="s">
        <v>42</v>
      </c>
      <c r="F36" s="253"/>
      <c r="G36" s="205">
        <f>SUM(G34:G35)</f>
        <v>336</v>
      </c>
      <c r="H36" s="190"/>
    </row>
    <row r="37" spans="1:16" x14ac:dyDescent="0.4">
      <c r="A37" s="395"/>
      <c r="B37" s="395"/>
      <c r="C37" s="395"/>
      <c r="D37" s="395"/>
      <c r="E37" s="395"/>
      <c r="F37" s="395"/>
      <c r="G37" s="395"/>
      <c r="H37" s="395"/>
    </row>
    <row r="38" spans="1:16" s="4" customFormat="1" ht="15.9" x14ac:dyDescent="0.4">
      <c r="A38" s="391" t="s">
        <v>93</v>
      </c>
      <c r="B38" s="409"/>
      <c r="C38" s="409"/>
      <c r="D38" s="409"/>
      <c r="E38" s="409"/>
      <c r="F38" s="409"/>
      <c r="G38" s="409"/>
      <c r="H38" s="409"/>
      <c r="I38"/>
      <c r="J38"/>
      <c r="K38"/>
      <c r="L38"/>
      <c r="M38"/>
      <c r="N38"/>
      <c r="O38"/>
      <c r="P38"/>
    </row>
    <row r="39" spans="1:16" x14ac:dyDescent="0.4">
      <c r="A39" s="393" t="s">
        <v>94</v>
      </c>
      <c r="B39" s="395"/>
      <c r="C39" s="395"/>
      <c r="D39" s="395"/>
      <c r="E39" s="255" t="s">
        <v>95</v>
      </c>
      <c r="F39" s="256"/>
      <c r="G39" s="252">
        <f>G36+G26+G11+G19</f>
        <v>1843.8</v>
      </c>
      <c r="H39" s="208"/>
    </row>
    <row r="40" spans="1:16" ht="14.5" customHeight="1" x14ac:dyDescent="0.4">
      <c r="A40" s="393" t="s">
        <v>96</v>
      </c>
      <c r="B40" s="392"/>
      <c r="C40" s="392"/>
      <c r="D40" s="392"/>
      <c r="E40" s="213">
        <v>0.42</v>
      </c>
      <c r="F40" s="207"/>
      <c r="G40" s="202">
        <f>G39*E40</f>
        <v>774.39599999999996</v>
      </c>
      <c r="H40" s="190" t="s">
        <v>97</v>
      </c>
    </row>
    <row r="41" spans="1:16" x14ac:dyDescent="0.4">
      <c r="E41" s="204" t="s">
        <v>98</v>
      </c>
      <c r="F41" s="257"/>
      <c r="G41" s="205">
        <f>SUM(G39:G40)</f>
        <v>2618.1959999999999</v>
      </c>
    </row>
  </sheetData>
  <mergeCells count="35">
    <mergeCell ref="A17:D17"/>
    <mergeCell ref="A1:B1"/>
    <mergeCell ref="A2:B2"/>
    <mergeCell ref="A3:B3"/>
    <mergeCell ref="A4:B4"/>
    <mergeCell ref="A5:B5"/>
    <mergeCell ref="A7:G7"/>
    <mergeCell ref="A9:D9"/>
    <mergeCell ref="A10:D10"/>
    <mergeCell ref="A11:D11"/>
    <mergeCell ref="A12:H12"/>
    <mergeCell ref="A13:H13"/>
    <mergeCell ref="A23:D23"/>
    <mergeCell ref="A18:D18"/>
    <mergeCell ref="A19:D19"/>
    <mergeCell ref="A20:H20"/>
    <mergeCell ref="A21:H21"/>
    <mergeCell ref="A22:D22"/>
    <mergeCell ref="A24:D24"/>
    <mergeCell ref="A25:D25"/>
    <mergeCell ref="A26:D26"/>
    <mergeCell ref="A27:H27"/>
    <mergeCell ref="A28:H28"/>
    <mergeCell ref="A29:D29"/>
    <mergeCell ref="A30:D30"/>
    <mergeCell ref="A31:D31"/>
    <mergeCell ref="A32:D32"/>
    <mergeCell ref="A33:D33"/>
    <mergeCell ref="A39:D39"/>
    <mergeCell ref="A40:D40"/>
    <mergeCell ref="A34:D34"/>
    <mergeCell ref="A35:D35"/>
    <mergeCell ref="A36:D36"/>
    <mergeCell ref="A37:H37"/>
    <mergeCell ref="A38:H38"/>
  </mergeCells>
  <dataValidations count="1">
    <dataValidation allowBlank="1" showErrorMessage="1" promptTitle="SF Authorized" prompt="Auto-populates" sqref="E8 E14:E16" xr:uid="{FC8ABAEB-1D7B-4E4A-B6C9-138B9D16B58C}"/>
  </dataValidations>
  <hyperlinks>
    <hyperlink ref="H6" r:id="rId1" display="WBDG - AFMAN 32-1084" xr:uid="{B2916E55-E7E9-466E-AF48-BAD48C95447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7BB95637-7E1A-40AF-BEBC-8074C3EA9709}">
          <x14:formula1>
            <xm:f>'Sheet References'!$A$57:$A$76</xm:f>
          </x14:formula1>
          <xm:sqref>B14:B16</xm:sqref>
        </x14:dataValidation>
        <x14:dataValidation type="list" allowBlank="1" showInputMessage="1" showErrorMessage="1" xr:uid="{6AA4A91E-036C-418B-8A8D-39556F4F121B}">
          <x14:formula1>
            <xm:f>'Sheet References'!$A$14:$A$52</xm:f>
          </x14:formula1>
          <xm:sqref>B8</xm:sqref>
        </x14:dataValidation>
        <x14:dataValidation type="list" allowBlank="1" showInputMessage="1" showErrorMessage="1" xr:uid="{4EE4B3C0-0CAC-48D2-9E85-AC9FDDBB455A}">
          <x14:formula1>
            <xm:f>'Sheet References'!$E$1:$E$116</xm:f>
          </x14:formula1>
          <xm:sqref>D8 D14:D16</xm:sqref>
        </x14:dataValidation>
        <x14:dataValidation type="list" allowBlank="1" showInputMessage="1" showErrorMessage="1" xr:uid="{69A1B8B6-5B77-42C8-9D21-06D2A7F857DB}">
          <x14:formula1>
            <xm:f>'Sheet References'!$H$1:$H$46</xm:f>
          </x14:formula1>
          <xm:sqref>A22:D23</xm:sqref>
        </x14:dataValidation>
        <x14:dataValidation type="list" allowBlank="1" showInputMessage="1" showErrorMessage="1" xr:uid="{7947AF63-7CD0-4BF2-8825-3D421CB682DA}">
          <x14:formula1>
            <xm:f>'Sheet References'!$L$1:$L$874</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2D3C0-4AAC-4CEE-ACC5-22DD9B3BFEAD}">
  <sheetPr codeName="Sheet11">
    <tabColor rgb="FF00B050"/>
    <pageSetUpPr fitToPage="1"/>
  </sheetPr>
  <dimension ref="A1:P50"/>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63.84375" customWidth="1"/>
    <col min="17" max="16384" width="9.3046875" style="1"/>
  </cols>
  <sheetData>
    <row r="1" spans="1:16" s="5" customFormat="1" ht="21" customHeight="1" x14ac:dyDescent="0.4">
      <c r="A1" s="404" t="s">
        <v>14</v>
      </c>
      <c r="B1" s="404"/>
      <c r="C1" s="258"/>
      <c r="D1" s="258" t="s">
        <v>15</v>
      </c>
      <c r="E1" s="259">
        <v>141165</v>
      </c>
      <c r="F1" s="260"/>
      <c r="G1" s="260"/>
      <c r="H1" s="260"/>
      <c r="I1"/>
      <c r="J1"/>
      <c r="K1"/>
      <c r="L1"/>
      <c r="M1"/>
      <c r="N1"/>
      <c r="O1"/>
      <c r="P1"/>
    </row>
    <row r="2" spans="1:16" ht="21" customHeight="1" x14ac:dyDescent="0.4">
      <c r="A2" s="405" t="s">
        <v>3627</v>
      </c>
      <c r="B2" s="405"/>
      <c r="C2" s="260"/>
      <c r="D2" s="258" t="s">
        <v>16</v>
      </c>
      <c r="E2" s="259" t="str">
        <f>VLOOKUP(E1,'Sheet References'!L1:M972,2,FALSE)</f>
        <v>Explosive Ordnance Disposal</v>
      </c>
      <c r="F2" s="260"/>
      <c r="G2" s="260"/>
      <c r="H2" s="260"/>
    </row>
    <row r="3" spans="1:16" ht="21" customHeight="1" x14ac:dyDescent="0.4">
      <c r="A3" s="405" t="s">
        <v>11</v>
      </c>
      <c r="B3" s="405"/>
      <c r="C3" s="258"/>
      <c r="D3" s="258" t="s">
        <v>17</v>
      </c>
      <c r="E3" s="259" t="str">
        <f>VLOOKUP(CATCode,'Sheet References'!L:O,4,FALSE)</f>
        <v>‌https://www.wbdg.org/FFC/AF/AFMAN/141165_Explosive_Ordnance_Disposal.pdf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29.15" x14ac:dyDescent="0.4">
      <c r="A7" s="410" t="s">
        <v>28</v>
      </c>
      <c r="B7" s="410"/>
      <c r="C7" s="410"/>
      <c r="D7" s="410"/>
      <c r="E7" s="410"/>
      <c r="F7" s="410"/>
      <c r="G7" s="410"/>
      <c r="H7" s="265" t="s">
        <v>29</v>
      </c>
      <c r="I7"/>
      <c r="J7"/>
      <c r="K7"/>
      <c r="L7"/>
      <c r="M7"/>
      <c r="N7"/>
      <c r="O7"/>
      <c r="P7"/>
    </row>
    <row r="8" spans="1:16" x14ac:dyDescent="0.4">
      <c r="A8" s="267" t="s">
        <v>127</v>
      </c>
      <c r="B8" s="268" t="s">
        <v>38</v>
      </c>
      <c r="C8" s="268" t="str">
        <f>VLOOKUP(B8,'Sheet References'!$A$14:$B$68,2,FALSE)</f>
        <v>Office Type D (Private)</v>
      </c>
      <c r="D8" s="267" t="s">
        <v>32</v>
      </c>
      <c r="E8" s="267">
        <f>VLOOKUP(C8,OfficeTypeSF22[#All],2,FALSE)</f>
        <v>100</v>
      </c>
      <c r="F8" s="267">
        <v>0</v>
      </c>
      <c r="G8" s="269">
        <f>E8*F8</f>
        <v>0</v>
      </c>
      <c r="H8" s="270"/>
    </row>
    <row r="9" spans="1:16" x14ac:dyDescent="0.4">
      <c r="A9" s="412" t="s">
        <v>41</v>
      </c>
      <c r="B9" s="413"/>
      <c r="C9" s="413"/>
      <c r="D9" s="413"/>
      <c r="E9" s="271" t="s">
        <v>42</v>
      </c>
      <c r="F9" s="272">
        <f>SUM(F8:F8)</f>
        <v>0</v>
      </c>
      <c r="G9" s="273">
        <f>SUM(G8:G8)</f>
        <v>0</v>
      </c>
      <c r="H9" s="274"/>
    </row>
    <row r="10" spans="1:16" ht="14.5" customHeight="1" x14ac:dyDescent="0.4">
      <c r="A10" s="414" t="s">
        <v>43</v>
      </c>
      <c r="B10" s="411"/>
      <c r="C10" s="411"/>
      <c r="D10" s="411"/>
      <c r="E10" s="275">
        <v>0.4</v>
      </c>
      <c r="F10" s="267"/>
      <c r="G10" s="269">
        <f>G9*E10</f>
        <v>0</v>
      </c>
      <c r="H10" s="270" t="s">
        <v>44</v>
      </c>
    </row>
    <row r="11" spans="1:16" x14ac:dyDescent="0.4">
      <c r="A11" s="412" t="s">
        <v>45</v>
      </c>
      <c r="B11" s="413"/>
      <c r="C11" s="413"/>
      <c r="D11" s="413"/>
      <c r="E11" s="271" t="s">
        <v>42</v>
      </c>
      <c r="F11" s="271"/>
      <c r="G11" s="276">
        <f>G10+G9</f>
        <v>0</v>
      </c>
      <c r="H11" s="274"/>
    </row>
    <row r="12" spans="1:16" x14ac:dyDescent="0.4">
      <c r="A12" s="415"/>
      <c r="B12" s="402"/>
      <c r="C12" s="402"/>
      <c r="D12" s="402"/>
      <c r="E12" s="402"/>
      <c r="F12" s="402"/>
      <c r="G12" s="402"/>
      <c r="H12" s="403"/>
    </row>
    <row r="13" spans="1:16" s="22" customFormat="1" ht="15.9" x14ac:dyDescent="0.4">
      <c r="A13" s="396" t="s">
        <v>46</v>
      </c>
      <c r="B13" s="396"/>
      <c r="C13" s="396"/>
      <c r="D13" s="396"/>
      <c r="E13" s="396"/>
      <c r="F13" s="396"/>
      <c r="G13" s="396"/>
      <c r="H13" s="396"/>
      <c r="I13"/>
      <c r="J13"/>
      <c r="K13"/>
      <c r="L13"/>
      <c r="M13"/>
      <c r="N13"/>
      <c r="O13"/>
      <c r="P13"/>
    </row>
    <row r="14" spans="1:16" s="22" customFormat="1" x14ac:dyDescent="0.4">
      <c r="A14" s="237" t="s">
        <v>128</v>
      </c>
      <c r="B14" s="238" t="s">
        <v>49</v>
      </c>
      <c r="C14" s="239" t="str">
        <f>VLOOKUP(B14,OpenOffices25[#All],2,FALSE)</f>
        <v>Office Type E (Open)</v>
      </c>
      <c r="D14" s="237" t="s">
        <v>32</v>
      </c>
      <c r="E14" s="267">
        <f>VLOOKUP(C14,OfficeTypeSF22[#All],2,FALSE)</f>
        <v>65</v>
      </c>
      <c r="F14" s="237">
        <v>0</v>
      </c>
      <c r="G14" s="240">
        <f>E14*F14</f>
        <v>0</v>
      </c>
      <c r="H14" s="242"/>
      <c r="I14"/>
      <c r="J14"/>
      <c r="K14"/>
      <c r="L14"/>
      <c r="M14"/>
      <c r="N14"/>
      <c r="O14"/>
      <c r="P14"/>
    </row>
    <row r="15" spans="1:16" s="22" customFormat="1" ht="29.15" x14ac:dyDescent="0.4">
      <c r="A15" s="237" t="s">
        <v>129</v>
      </c>
      <c r="B15" s="238" t="s">
        <v>54</v>
      </c>
      <c r="C15" s="239" t="str">
        <f>VLOOKUP(B15,OpenOffices25[#All],2,FALSE)</f>
        <v>Office Type F (Open)</v>
      </c>
      <c r="D15" s="237" t="s">
        <v>32</v>
      </c>
      <c r="E15" s="267">
        <f>VLOOKUP(C15,OfficeTypeSF22[#All],2,FALSE)</f>
        <v>36</v>
      </c>
      <c r="F15" s="237">
        <v>0</v>
      </c>
      <c r="G15" s="240">
        <f>E15*F15</f>
        <v>0</v>
      </c>
      <c r="H15" s="241" t="s">
        <v>3649</v>
      </c>
      <c r="I15"/>
      <c r="J15"/>
      <c r="K15"/>
      <c r="L15"/>
      <c r="M15"/>
      <c r="N15"/>
      <c r="O15"/>
      <c r="P15"/>
    </row>
    <row r="16" spans="1:16" s="22" customFormat="1" x14ac:dyDescent="0.4">
      <c r="A16" s="397" t="s">
        <v>58</v>
      </c>
      <c r="B16" s="398"/>
      <c r="C16" s="398"/>
      <c r="D16" s="398"/>
      <c r="E16" s="243" t="s">
        <v>42</v>
      </c>
      <c r="F16" s="272">
        <f>SUM(F14:F15)</f>
        <v>0</v>
      </c>
      <c r="G16" s="244">
        <f>SUM(G14:G15)</f>
        <v>0</v>
      </c>
      <c r="H16" s="242"/>
      <c r="I16"/>
      <c r="J16"/>
      <c r="K16"/>
      <c r="L16"/>
      <c r="M16"/>
      <c r="N16"/>
      <c r="O16"/>
      <c r="P16"/>
    </row>
    <row r="17" spans="1:16" s="22" customFormat="1" ht="14.5" customHeight="1" x14ac:dyDescent="0.4">
      <c r="A17" s="399" t="s">
        <v>59</v>
      </c>
      <c r="B17" s="400"/>
      <c r="C17" s="400"/>
      <c r="D17" s="400"/>
      <c r="E17" s="245">
        <v>0.6</v>
      </c>
      <c r="F17" s="237"/>
      <c r="G17" s="246">
        <f>G16*E17</f>
        <v>0</v>
      </c>
      <c r="H17" s="242" t="s">
        <v>44</v>
      </c>
      <c r="I17"/>
      <c r="J17"/>
      <c r="K17"/>
      <c r="L17"/>
      <c r="M17"/>
      <c r="N17"/>
      <c r="O17"/>
      <c r="P17"/>
    </row>
    <row r="18" spans="1:16" s="23" customFormat="1" ht="15.9" x14ac:dyDescent="0.4">
      <c r="A18" s="397" t="s">
        <v>60</v>
      </c>
      <c r="B18" s="398"/>
      <c r="C18" s="398"/>
      <c r="D18" s="398"/>
      <c r="E18" s="243" t="s">
        <v>42</v>
      </c>
      <c r="F18" s="243"/>
      <c r="G18" s="244">
        <f>G17+G16</f>
        <v>0</v>
      </c>
      <c r="H18" s="247"/>
      <c r="I18"/>
      <c r="J18"/>
      <c r="K18"/>
      <c r="L18"/>
      <c r="M18"/>
      <c r="N18"/>
      <c r="O18"/>
      <c r="P18"/>
    </row>
    <row r="19" spans="1:16" x14ac:dyDescent="0.4">
      <c r="A19" s="415"/>
      <c r="B19" s="402"/>
      <c r="C19" s="402"/>
      <c r="D19" s="402"/>
      <c r="E19" s="402"/>
      <c r="F19" s="402"/>
      <c r="G19" s="402"/>
      <c r="H19" s="403"/>
    </row>
    <row r="20" spans="1:16" s="4" customFormat="1" ht="15.9" x14ac:dyDescent="0.4">
      <c r="A20" s="410" t="s">
        <v>61</v>
      </c>
      <c r="B20" s="410"/>
      <c r="C20" s="410"/>
      <c r="D20" s="410"/>
      <c r="E20" s="410"/>
      <c r="F20" s="410"/>
      <c r="G20" s="410"/>
      <c r="H20" s="410"/>
      <c r="I20"/>
      <c r="J20"/>
      <c r="K20"/>
      <c r="L20"/>
      <c r="M20"/>
      <c r="N20"/>
      <c r="O20"/>
      <c r="P20"/>
    </row>
    <row r="21" spans="1:16" s="4" customFormat="1" ht="58.3" x14ac:dyDescent="0.4">
      <c r="A21" s="411" t="s">
        <v>62</v>
      </c>
      <c r="B21" s="411"/>
      <c r="C21" s="411"/>
      <c r="D21" s="411"/>
      <c r="E21" s="202">
        <f>VLOOKUP(A21,AdminSpecialPurpose26[#All],2,TRUE)</f>
        <v>8</v>
      </c>
      <c r="F21" s="248">
        <f>F9+F16</f>
        <v>0</v>
      </c>
      <c r="G21" s="269">
        <f>E21*F21</f>
        <v>0</v>
      </c>
      <c r="H21" s="270" t="s">
        <v>63</v>
      </c>
      <c r="I21"/>
      <c r="J21"/>
      <c r="K21"/>
      <c r="L21"/>
      <c r="M21"/>
      <c r="N21"/>
      <c r="O21"/>
      <c r="P21"/>
    </row>
    <row r="22" spans="1:16" s="4" customFormat="1" ht="29.15" x14ac:dyDescent="0.4">
      <c r="A22" s="411" t="s">
        <v>65</v>
      </c>
      <c r="B22" s="413"/>
      <c r="C22" s="413"/>
      <c r="D22" s="413"/>
      <c r="E22" s="269">
        <v>225</v>
      </c>
      <c r="F22" s="249">
        <v>1</v>
      </c>
      <c r="G22" s="269">
        <f>E22*F22</f>
        <v>225</v>
      </c>
      <c r="H22" s="250" t="s">
        <v>3648</v>
      </c>
      <c r="I22"/>
      <c r="J22"/>
      <c r="K22"/>
      <c r="L22"/>
      <c r="M22"/>
      <c r="N22"/>
      <c r="O22"/>
      <c r="P22"/>
    </row>
    <row r="23" spans="1:16" x14ac:dyDescent="0.4">
      <c r="A23" s="412" t="s">
        <v>76</v>
      </c>
      <c r="B23" s="412"/>
      <c r="C23" s="412"/>
      <c r="D23" s="412"/>
      <c r="E23" s="272" t="s">
        <v>42</v>
      </c>
      <c r="F23" s="251"/>
      <c r="G23" s="276">
        <f>SUM(G21:G22)</f>
        <v>225</v>
      </c>
      <c r="H23" s="270"/>
    </row>
    <row r="24" spans="1:16" x14ac:dyDescent="0.4">
      <c r="A24" s="407" t="s">
        <v>77</v>
      </c>
      <c r="B24" s="408"/>
      <c r="C24" s="408"/>
      <c r="D24" s="408"/>
      <c r="E24" s="275">
        <v>0.4</v>
      </c>
      <c r="F24" s="267"/>
      <c r="G24" s="252">
        <f>E24*G23</f>
        <v>90</v>
      </c>
      <c r="H24" s="270" t="s">
        <v>44</v>
      </c>
    </row>
    <row r="25" spans="1:16" x14ac:dyDescent="0.4">
      <c r="A25" s="412" t="s">
        <v>78</v>
      </c>
      <c r="B25" s="413"/>
      <c r="C25" s="413"/>
      <c r="D25" s="413"/>
      <c r="E25" s="271" t="s">
        <v>42</v>
      </c>
      <c r="F25" s="253"/>
      <c r="G25" s="276">
        <f>SUM(G23:G24)</f>
        <v>315</v>
      </c>
      <c r="H25" s="270"/>
    </row>
    <row r="26" spans="1:16" x14ac:dyDescent="0.4">
      <c r="A26" s="413"/>
      <c r="B26" s="413"/>
      <c r="C26" s="413"/>
      <c r="D26" s="413"/>
      <c r="E26" s="413"/>
      <c r="F26" s="413"/>
      <c r="G26" s="413"/>
      <c r="H26" s="413"/>
    </row>
    <row r="27" spans="1:16" s="4" customFormat="1" ht="15.9" x14ac:dyDescent="0.4">
      <c r="A27" s="410" t="s">
        <v>79</v>
      </c>
      <c r="B27" s="409"/>
      <c r="C27" s="409"/>
      <c r="D27" s="409"/>
      <c r="E27" s="409"/>
      <c r="F27" s="409"/>
      <c r="G27" s="409"/>
      <c r="H27" s="409"/>
      <c r="I27"/>
      <c r="J27"/>
      <c r="K27"/>
      <c r="L27"/>
      <c r="M27"/>
      <c r="N27"/>
      <c r="O27"/>
      <c r="P27"/>
    </row>
    <row r="28" spans="1:16" ht="29.15" x14ac:dyDescent="0.4">
      <c r="A28" s="416" t="s">
        <v>3633</v>
      </c>
      <c r="B28" s="417"/>
      <c r="C28" s="417"/>
      <c r="D28" s="418"/>
      <c r="E28" s="267">
        <v>450</v>
      </c>
      <c r="F28" s="254">
        <v>1</v>
      </c>
      <c r="G28" s="269">
        <f>E28*F28</f>
        <v>450</v>
      </c>
      <c r="H28" s="250" t="s">
        <v>130</v>
      </c>
    </row>
    <row r="29" spans="1:16" x14ac:dyDescent="0.4">
      <c r="A29" s="416" t="s">
        <v>3634</v>
      </c>
      <c r="B29" s="417"/>
      <c r="C29" s="417"/>
      <c r="D29" s="418"/>
      <c r="E29" s="267">
        <v>225</v>
      </c>
      <c r="F29" s="254">
        <v>1</v>
      </c>
      <c r="G29" s="269">
        <f>E29*F29</f>
        <v>225</v>
      </c>
      <c r="H29" s="270" t="s">
        <v>131</v>
      </c>
    </row>
    <row r="30" spans="1:16" ht="43.75" x14ac:dyDescent="0.4">
      <c r="A30" s="278" t="s">
        <v>132</v>
      </c>
      <c r="B30" s="279"/>
      <c r="C30" s="279"/>
      <c r="D30" s="280"/>
      <c r="E30" s="267">
        <v>250</v>
      </c>
      <c r="F30" s="254">
        <v>1</v>
      </c>
      <c r="G30" s="269">
        <f t="shared" ref="G30:G41" si="0">E30*F30</f>
        <v>250</v>
      </c>
      <c r="H30" s="250" t="s">
        <v>3635</v>
      </c>
    </row>
    <row r="31" spans="1:16" x14ac:dyDescent="0.4">
      <c r="A31" s="278" t="s">
        <v>134</v>
      </c>
      <c r="B31" s="279"/>
      <c r="C31" s="279"/>
      <c r="D31" s="280"/>
      <c r="E31" s="267">
        <v>150</v>
      </c>
      <c r="F31" s="254">
        <v>1</v>
      </c>
      <c r="G31" s="269">
        <f t="shared" si="0"/>
        <v>150</v>
      </c>
      <c r="H31" s="270" t="s">
        <v>133</v>
      </c>
    </row>
    <row r="32" spans="1:16" x14ac:dyDescent="0.4">
      <c r="A32" s="278" t="s">
        <v>135</v>
      </c>
      <c r="B32" s="279"/>
      <c r="C32" s="279"/>
      <c r="D32" s="280"/>
      <c r="E32" s="254">
        <v>1900</v>
      </c>
      <c r="F32" s="254">
        <v>1</v>
      </c>
      <c r="G32" s="269">
        <f t="shared" si="0"/>
        <v>1900</v>
      </c>
      <c r="H32" s="270" t="s">
        <v>131</v>
      </c>
    </row>
    <row r="33" spans="1:16" x14ac:dyDescent="0.4">
      <c r="A33" s="416" t="s">
        <v>136</v>
      </c>
      <c r="B33" s="420"/>
      <c r="C33" s="420"/>
      <c r="D33" s="421"/>
      <c r="E33" s="267">
        <v>150</v>
      </c>
      <c r="F33" s="254">
        <v>1</v>
      </c>
      <c r="G33" s="269">
        <f t="shared" si="0"/>
        <v>150</v>
      </c>
      <c r="H33" s="270" t="s">
        <v>133</v>
      </c>
    </row>
    <row r="34" spans="1:16" x14ac:dyDescent="0.4">
      <c r="A34" s="416" t="s">
        <v>138</v>
      </c>
      <c r="B34" s="420"/>
      <c r="C34" s="420"/>
      <c r="D34" s="421"/>
      <c r="E34" s="254">
        <v>60</v>
      </c>
      <c r="F34" s="254">
        <v>0</v>
      </c>
      <c r="G34" s="269">
        <f t="shared" si="0"/>
        <v>0</v>
      </c>
      <c r="H34" s="250" t="s">
        <v>3636</v>
      </c>
    </row>
    <row r="35" spans="1:16" ht="29.15" x14ac:dyDescent="0.4">
      <c r="A35" s="416" t="s">
        <v>139</v>
      </c>
      <c r="B35" s="420"/>
      <c r="C35" s="420"/>
      <c r="D35" s="421"/>
      <c r="E35" s="267">
        <v>800</v>
      </c>
      <c r="F35" s="254">
        <v>0</v>
      </c>
      <c r="G35" s="269">
        <f t="shared" si="0"/>
        <v>0</v>
      </c>
      <c r="H35" s="250" t="s">
        <v>3637</v>
      </c>
    </row>
    <row r="36" spans="1:16" ht="15" customHeight="1" x14ac:dyDescent="0.4">
      <c r="A36" s="416" t="s">
        <v>3638</v>
      </c>
      <c r="B36" s="420"/>
      <c r="C36" s="420"/>
      <c r="D36" s="421"/>
      <c r="E36" s="254">
        <v>270</v>
      </c>
      <c r="F36" s="254">
        <v>1</v>
      </c>
      <c r="G36" s="269">
        <f t="shared" ref="G36:G40" si="1">E36*F36</f>
        <v>270</v>
      </c>
      <c r="H36" s="270" t="s">
        <v>133</v>
      </c>
    </row>
    <row r="37" spans="1:16" ht="15" customHeight="1" x14ac:dyDescent="0.4">
      <c r="A37" s="416" t="s">
        <v>3639</v>
      </c>
      <c r="B37" s="420"/>
      <c r="C37" s="420"/>
      <c r="D37" s="421"/>
      <c r="E37" s="254">
        <v>200</v>
      </c>
      <c r="F37" s="254">
        <v>1</v>
      </c>
      <c r="G37" s="269">
        <f t="shared" si="1"/>
        <v>200</v>
      </c>
      <c r="H37" s="270" t="s">
        <v>133</v>
      </c>
    </row>
    <row r="38" spans="1:16" ht="29.15" x14ac:dyDescent="0.4">
      <c r="A38" s="416" t="s">
        <v>3640</v>
      </c>
      <c r="B38" s="420"/>
      <c r="C38" s="420"/>
      <c r="D38" s="421"/>
      <c r="E38" s="254">
        <v>150</v>
      </c>
      <c r="F38" s="254">
        <v>1</v>
      </c>
      <c r="G38" s="269">
        <f t="shared" si="1"/>
        <v>150</v>
      </c>
      <c r="H38" s="250" t="s">
        <v>3641</v>
      </c>
    </row>
    <row r="39" spans="1:16" x14ac:dyDescent="0.4">
      <c r="A39" s="416" t="s">
        <v>3642</v>
      </c>
      <c r="B39" s="420"/>
      <c r="C39" s="420"/>
      <c r="D39" s="421"/>
      <c r="E39" s="267">
        <v>150</v>
      </c>
      <c r="F39" s="254">
        <v>1</v>
      </c>
      <c r="G39" s="269">
        <f t="shared" si="1"/>
        <v>150</v>
      </c>
      <c r="H39" s="270" t="s">
        <v>133</v>
      </c>
      <c r="I39" s="306"/>
    </row>
    <row r="40" spans="1:16" x14ac:dyDescent="0.4">
      <c r="A40" s="416" t="s">
        <v>137</v>
      </c>
      <c r="B40" s="420"/>
      <c r="C40" s="420"/>
      <c r="D40" s="421"/>
      <c r="E40" s="267">
        <v>75</v>
      </c>
      <c r="F40" s="254">
        <v>1</v>
      </c>
      <c r="G40" s="269">
        <f t="shared" si="1"/>
        <v>75</v>
      </c>
      <c r="H40" s="270" t="s">
        <v>133</v>
      </c>
    </row>
    <row r="41" spans="1:16" ht="29.15" x14ac:dyDescent="0.4">
      <c r="A41" s="416" t="s">
        <v>3643</v>
      </c>
      <c r="B41" s="420"/>
      <c r="C41" s="420"/>
      <c r="D41" s="421"/>
      <c r="E41" s="254">
        <v>300</v>
      </c>
      <c r="F41" s="254">
        <v>1</v>
      </c>
      <c r="G41" s="269">
        <f t="shared" si="0"/>
        <v>300</v>
      </c>
      <c r="H41" s="250" t="s">
        <v>3644</v>
      </c>
    </row>
    <row r="42" spans="1:16" x14ac:dyDescent="0.4">
      <c r="A42" s="416" t="s">
        <v>3645</v>
      </c>
      <c r="B42" s="420"/>
      <c r="C42" s="420"/>
      <c r="D42" s="421"/>
      <c r="E42" s="267">
        <v>60</v>
      </c>
      <c r="F42" s="254">
        <v>1</v>
      </c>
      <c r="G42" s="269">
        <f t="shared" ref="G42" si="2">E42*F42</f>
        <v>60</v>
      </c>
      <c r="H42" s="270" t="s">
        <v>133</v>
      </c>
    </row>
    <row r="43" spans="1:16" x14ac:dyDescent="0.4">
      <c r="A43" s="412" t="s">
        <v>90</v>
      </c>
      <c r="B43" s="412"/>
      <c r="C43" s="412"/>
      <c r="D43" s="412"/>
      <c r="E43" s="272" t="s">
        <v>42</v>
      </c>
      <c r="F43" s="251"/>
      <c r="G43" s="276">
        <f>SUM(G28:G42)</f>
        <v>4330</v>
      </c>
      <c r="H43" s="270"/>
    </row>
    <row r="44" spans="1:16" x14ac:dyDescent="0.4">
      <c r="A44" s="407" t="s">
        <v>91</v>
      </c>
      <c r="B44" s="408"/>
      <c r="C44" s="408"/>
      <c r="D44" s="408"/>
      <c r="E44" s="275">
        <v>0.1</v>
      </c>
      <c r="F44" s="267"/>
      <c r="G44" s="252">
        <f>E44*G43</f>
        <v>433</v>
      </c>
      <c r="H44" s="270" t="s">
        <v>44</v>
      </c>
    </row>
    <row r="45" spans="1:16" x14ac:dyDescent="0.4">
      <c r="A45" s="412" t="s">
        <v>92</v>
      </c>
      <c r="B45" s="413"/>
      <c r="C45" s="413"/>
      <c r="D45" s="413"/>
      <c r="E45" s="271" t="s">
        <v>42</v>
      </c>
      <c r="F45" s="253"/>
      <c r="G45" s="276">
        <f>SUM(G43:G44)</f>
        <v>4763</v>
      </c>
      <c r="H45" s="270"/>
    </row>
    <row r="46" spans="1:16" x14ac:dyDescent="0.4">
      <c r="A46" s="413"/>
      <c r="B46" s="413"/>
      <c r="C46" s="413"/>
      <c r="D46" s="413"/>
      <c r="E46" s="413"/>
      <c r="F46" s="413"/>
      <c r="G46" s="413"/>
      <c r="H46" s="413"/>
    </row>
    <row r="47" spans="1:16" s="4" customFormat="1" ht="15.9" x14ac:dyDescent="0.4">
      <c r="A47" s="410" t="s">
        <v>93</v>
      </c>
      <c r="B47" s="409"/>
      <c r="C47" s="409"/>
      <c r="D47" s="409"/>
      <c r="E47" s="409"/>
      <c r="F47" s="409"/>
      <c r="G47" s="409"/>
      <c r="H47" s="409"/>
      <c r="I47"/>
      <c r="J47"/>
      <c r="K47"/>
      <c r="L47"/>
      <c r="M47"/>
      <c r="N47"/>
      <c r="O47"/>
      <c r="P47"/>
    </row>
    <row r="48" spans="1:16" x14ac:dyDescent="0.4">
      <c r="A48" s="414" t="s">
        <v>94</v>
      </c>
      <c r="B48" s="413"/>
      <c r="C48" s="413"/>
      <c r="D48" s="413"/>
      <c r="E48" s="255" t="s">
        <v>95</v>
      </c>
      <c r="F48" s="256"/>
      <c r="G48" s="252">
        <f>G45+G25+G11+G18</f>
        <v>5078</v>
      </c>
      <c r="H48" s="274"/>
    </row>
    <row r="49" spans="1:8" ht="14.5" customHeight="1" x14ac:dyDescent="0.4">
      <c r="A49" s="414" t="s">
        <v>96</v>
      </c>
      <c r="B49" s="411"/>
      <c r="C49" s="411"/>
      <c r="D49" s="411"/>
      <c r="E49" s="275">
        <v>0.42</v>
      </c>
      <c r="F49" s="268"/>
      <c r="G49" s="269">
        <f>G48*E49</f>
        <v>2132.7599999999998</v>
      </c>
      <c r="H49" s="270" t="s">
        <v>97</v>
      </c>
    </row>
    <row r="50" spans="1:8" x14ac:dyDescent="0.4">
      <c r="E50" s="272" t="s">
        <v>98</v>
      </c>
      <c r="F50" s="257"/>
      <c r="G50" s="276">
        <f>SUM(G48:G49)</f>
        <v>7210.76</v>
      </c>
    </row>
  </sheetData>
  <mergeCells count="42">
    <mergeCell ref="A16:D16"/>
    <mergeCell ref="A12:H12"/>
    <mergeCell ref="A25:D25"/>
    <mergeCell ref="A17:D17"/>
    <mergeCell ref="A18:D18"/>
    <mergeCell ref="A20:H20"/>
    <mergeCell ref="A21:D21"/>
    <mergeCell ref="A19:H19"/>
    <mergeCell ref="A22:D22"/>
    <mergeCell ref="A7:G7"/>
    <mergeCell ref="A9:D9"/>
    <mergeCell ref="A10:D10"/>
    <mergeCell ref="A11:D11"/>
    <mergeCell ref="A13:H13"/>
    <mergeCell ref="A1:B1"/>
    <mergeCell ref="A2:B2"/>
    <mergeCell ref="A3:B3"/>
    <mergeCell ref="A4:B4"/>
    <mergeCell ref="A5:B5"/>
    <mergeCell ref="A35:D35"/>
    <mergeCell ref="A34:D34"/>
    <mergeCell ref="A41:D41"/>
    <mergeCell ref="A23:D23"/>
    <mergeCell ref="A24:D24"/>
    <mergeCell ref="A40:D40"/>
    <mergeCell ref="A39:D39"/>
    <mergeCell ref="A49:D49"/>
    <mergeCell ref="A26:H26"/>
    <mergeCell ref="A27:H27"/>
    <mergeCell ref="A43:D43"/>
    <mergeCell ref="A44:D44"/>
    <mergeCell ref="A45:D45"/>
    <mergeCell ref="A46:H46"/>
    <mergeCell ref="A47:H47"/>
    <mergeCell ref="A48:D48"/>
    <mergeCell ref="A28:D28"/>
    <mergeCell ref="A29:D29"/>
    <mergeCell ref="A33:D33"/>
    <mergeCell ref="A42:D42"/>
    <mergeCell ref="A36:D36"/>
    <mergeCell ref="A37:D37"/>
    <mergeCell ref="A38:D38"/>
  </mergeCells>
  <dataValidations count="1">
    <dataValidation allowBlank="1" showErrorMessage="1" promptTitle="SF Authorized" prompt="Auto-populates" sqref="E8 E14:E15" xr:uid="{134416C8-2B6A-406B-B7CB-AEF5CE79522B}"/>
  </dataValidations>
  <hyperlinks>
    <hyperlink ref="H6" r:id="rId1" display="WBDG - AFMAN 32-1084" xr:uid="{855705B6-58AC-4636-9D5A-80F4DBE7724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2629F081-43F8-4EBD-9BAF-427F0D5AE686}">
          <x14:formula1>
            <xm:f>'Sheet References'!$E$1:$E$116</xm:f>
          </x14:formula1>
          <xm:sqref>D8 D14:D15</xm:sqref>
        </x14:dataValidation>
        <x14:dataValidation type="list" allowBlank="1" showInputMessage="1" showErrorMessage="1" xr:uid="{C02B93C1-4CA6-4BA5-A704-FC5115CE5948}">
          <x14:formula1>
            <xm:f>'Sheet References'!$A$14:$A$52</xm:f>
          </x14:formula1>
          <xm:sqref>B8</xm:sqref>
        </x14:dataValidation>
        <x14:dataValidation type="list" allowBlank="1" showInputMessage="1" showErrorMessage="1" xr:uid="{30ED7406-2B7C-482D-826F-6E343A4BECCA}">
          <x14:formula1>
            <xm:f>'Sheet References'!$A$57:$A$76</xm:f>
          </x14:formula1>
          <xm:sqref>B14:B15</xm:sqref>
        </x14:dataValidation>
        <x14:dataValidation type="list" allowBlank="1" showInputMessage="1" showErrorMessage="1" xr:uid="{FB63AD98-C328-4C55-8030-C0B1734C2DE1}">
          <x14:formula1>
            <xm:f>'Sheet References'!$H$1:$H$46</xm:f>
          </x14:formula1>
          <xm:sqref>A21:D22</xm:sqref>
        </x14:dataValidation>
        <x14:dataValidation type="list" allowBlank="1" showInputMessage="1" showErrorMessage="1" xr:uid="{850C7D71-F3FF-4824-B51F-17E5D2A0F047}">
          <x14:formula1>
            <xm:f>'Sheet References'!$L$1:$L$874</xm:f>
          </x14:formula1>
          <xm:sqref>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3128-2F2A-49A2-8C20-D8E944DA7EF8}">
  <sheetPr codeName="Sheet6">
    <tabColor rgb="FF00B050"/>
    <pageSetUpPr fitToPage="1"/>
  </sheetPr>
  <dimension ref="A1:P15"/>
  <sheetViews>
    <sheetView zoomScale="80" zoomScaleNormal="80" workbookViewId="0">
      <selection activeCell="H9" sqref="H9"/>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219943</v>
      </c>
      <c r="F1" s="260"/>
      <c r="G1" s="260"/>
      <c r="H1" s="260"/>
      <c r="I1"/>
      <c r="J1"/>
      <c r="K1"/>
      <c r="L1"/>
      <c r="M1"/>
      <c r="N1"/>
      <c r="O1"/>
      <c r="P1"/>
    </row>
    <row r="2" spans="1:16" ht="21" customHeight="1" x14ac:dyDescent="0.4">
      <c r="A2" s="405" t="s">
        <v>3627</v>
      </c>
      <c r="B2" s="405"/>
      <c r="C2" s="260"/>
      <c r="D2" s="258" t="s">
        <v>16</v>
      </c>
      <c r="E2" s="259" t="str">
        <f>VLOOKUP(E1,'Sheet References'!L1:M972,2,FALSE)</f>
        <v xml:space="preserve">Base Engineer Horizontal Construction Facility </v>
      </c>
      <c r="F2" s="260"/>
      <c r="G2" s="260"/>
      <c r="H2" s="260"/>
    </row>
    <row r="3" spans="1:16" ht="21" customHeight="1" x14ac:dyDescent="0.4">
      <c r="A3" s="405" t="s">
        <v>11</v>
      </c>
      <c r="B3" s="405"/>
      <c r="C3" s="258"/>
      <c r="D3" s="258" t="s">
        <v>17</v>
      </c>
      <c r="E3" s="259" t="str">
        <f>VLOOKUP(CATCode,'Sheet References'!L:O,4,FALSE)</f>
        <v>‌https://www.wbdg.org/FFC/AF/AFMAN/219943_Base_Civil_Eng_Pavements_and_Grounds_Fac.pdf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ht="43.75" x14ac:dyDescent="0.4">
      <c r="A8" s="416" t="s">
        <v>3607</v>
      </c>
      <c r="B8" s="417"/>
      <c r="C8" s="417"/>
      <c r="D8" s="418"/>
      <c r="E8" s="267">
        <v>4000</v>
      </c>
      <c r="F8" s="301">
        <v>1</v>
      </c>
      <c r="G8" s="269">
        <f>E8*F8</f>
        <v>4000</v>
      </c>
      <c r="H8" s="250" t="s">
        <v>3942</v>
      </c>
    </row>
    <row r="9" spans="1:16" ht="29.15" x14ac:dyDescent="0.4">
      <c r="A9" s="416" t="s">
        <v>3590</v>
      </c>
      <c r="B9" s="417"/>
      <c r="C9" s="417"/>
      <c r="D9" s="418"/>
      <c r="E9" s="267" t="s">
        <v>103</v>
      </c>
      <c r="F9" s="301">
        <v>1</v>
      </c>
      <c r="G9" s="269"/>
      <c r="H9" s="250" t="s">
        <v>3591</v>
      </c>
    </row>
    <row r="10" spans="1:16" x14ac:dyDescent="0.4">
      <c r="A10" s="412" t="s">
        <v>92</v>
      </c>
      <c r="B10" s="413"/>
      <c r="C10" s="413"/>
      <c r="D10" s="413"/>
      <c r="E10" s="271" t="s">
        <v>42</v>
      </c>
      <c r="F10" s="253"/>
      <c r="G10" s="276">
        <f>SUM(G8:G9)</f>
        <v>4000</v>
      </c>
      <c r="H10" s="270"/>
    </row>
    <row r="11" spans="1:16" x14ac:dyDescent="0.4">
      <c r="A11" s="413"/>
      <c r="B11" s="413"/>
      <c r="C11" s="413"/>
      <c r="D11" s="413"/>
      <c r="E11" s="413"/>
      <c r="F11" s="413"/>
      <c r="G11" s="413"/>
      <c r="H11" s="413"/>
    </row>
    <row r="12" spans="1:16" s="4" customFormat="1" ht="15.9" x14ac:dyDescent="0.4">
      <c r="A12" s="410" t="s">
        <v>93</v>
      </c>
      <c r="B12" s="409"/>
      <c r="C12" s="409"/>
      <c r="D12" s="409"/>
      <c r="E12" s="409"/>
      <c r="F12" s="409"/>
      <c r="G12" s="409"/>
      <c r="H12" s="409"/>
      <c r="I12"/>
      <c r="J12"/>
      <c r="K12"/>
      <c r="L12"/>
      <c r="M12"/>
      <c r="N12"/>
      <c r="O12"/>
      <c r="P12"/>
    </row>
    <row r="13" spans="1:16" x14ac:dyDescent="0.4">
      <c r="A13" s="414" t="s">
        <v>94</v>
      </c>
      <c r="B13" s="413"/>
      <c r="C13" s="413"/>
      <c r="D13" s="413"/>
      <c r="E13" s="255" t="s">
        <v>95</v>
      </c>
      <c r="F13" s="256"/>
      <c r="G13" s="252">
        <f>G10</f>
        <v>4000</v>
      </c>
      <c r="H13" s="274"/>
    </row>
    <row r="14" spans="1:16" ht="14.5" customHeight="1" x14ac:dyDescent="0.4">
      <c r="A14" s="414" t="s">
        <v>118</v>
      </c>
      <c r="B14" s="411"/>
      <c r="C14" s="411"/>
      <c r="D14" s="411"/>
      <c r="E14" s="275">
        <v>0.25</v>
      </c>
      <c r="F14" s="268"/>
      <c r="G14" s="269">
        <f>G13*E14</f>
        <v>1000</v>
      </c>
      <c r="H14" s="270" t="s">
        <v>3679</v>
      </c>
    </row>
    <row r="15" spans="1:16" x14ac:dyDescent="0.4">
      <c r="E15" s="272" t="s">
        <v>98</v>
      </c>
      <c r="F15" s="257"/>
      <c r="G15" s="276">
        <f>SUM(G13:G14)</f>
        <v>5000</v>
      </c>
    </row>
  </sheetData>
  <mergeCells count="13">
    <mergeCell ref="A7:H7"/>
    <mergeCell ref="A9:D9"/>
    <mergeCell ref="A1:B1"/>
    <mergeCell ref="A2:B2"/>
    <mergeCell ref="A3:B3"/>
    <mergeCell ref="A4:B4"/>
    <mergeCell ref="A5:B5"/>
    <mergeCell ref="A8:D8"/>
    <mergeCell ref="A12:H12"/>
    <mergeCell ref="A13:D13"/>
    <mergeCell ref="A14:D14"/>
    <mergeCell ref="A10:D10"/>
    <mergeCell ref="A11:H11"/>
  </mergeCells>
  <hyperlinks>
    <hyperlink ref="H6" r:id="rId1" display="WBDG - AFMAN 32-1084" xr:uid="{C8D78596-F501-4D77-919F-DFD9DD1EBEA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9304414-762A-45C4-8801-7811E8A3FA7C}">
          <x14:formula1>
            <xm:f>'Sheet References'!$L$1:$L$874</xm:f>
          </x14:formula1>
          <xm:sqref>E1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539CF-E679-4815-9771-1D8070D9A288}">
  <sheetPr codeName="Sheet7">
    <tabColor rgb="FF00B050"/>
    <pageSetUpPr fitToPage="1"/>
  </sheetPr>
  <dimension ref="A1:P38"/>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04" t="s">
        <v>14</v>
      </c>
      <c r="B1" s="404"/>
      <c r="C1" s="258"/>
      <c r="D1" s="258" t="s">
        <v>15</v>
      </c>
      <c r="E1" s="259">
        <v>219944</v>
      </c>
      <c r="F1" s="260"/>
      <c r="G1" s="260"/>
      <c r="H1" s="260"/>
      <c r="I1"/>
      <c r="J1"/>
      <c r="K1"/>
      <c r="L1"/>
      <c r="M1"/>
      <c r="N1"/>
      <c r="O1"/>
      <c r="P1"/>
    </row>
    <row r="2" spans="1:16" ht="21" customHeight="1" x14ac:dyDescent="0.4">
      <c r="A2" s="405" t="s">
        <v>3627</v>
      </c>
      <c r="B2" s="405"/>
      <c r="C2" s="260"/>
      <c r="D2" s="258" t="s">
        <v>16</v>
      </c>
      <c r="E2" s="259" t="str">
        <f>VLOOKUP(E1,'Sheet References'!L1:M972,2,FALSE)</f>
        <v>Base Engineer Maintenance Shop</v>
      </c>
      <c r="F2" s="260"/>
      <c r="G2" s="260"/>
      <c r="H2" s="260"/>
    </row>
    <row r="3" spans="1:16" ht="21" customHeight="1" x14ac:dyDescent="0.4">
      <c r="A3" s="405" t="s">
        <v>11</v>
      </c>
      <c r="B3" s="405"/>
      <c r="C3" s="258"/>
      <c r="D3" s="258" t="s">
        <v>17</v>
      </c>
      <c r="E3" s="259" t="str">
        <f>VLOOKUP(CATCode,'Sheet References'!L:O,4,FALSE)</f>
        <v>‌https://www.wbdg.org/FFC/AF/AFMAN/219944_Base_Eng_Maint_Shop.pdf</v>
      </c>
      <c r="F3" s="260"/>
      <c r="G3" s="260"/>
      <c r="H3" s="260"/>
    </row>
    <row r="4" spans="1:16" ht="21" customHeight="1" x14ac:dyDescent="0.4">
      <c r="A4" s="405" t="s">
        <v>12</v>
      </c>
      <c r="B4" s="405"/>
      <c r="C4" s="35"/>
      <c r="D4" s="35"/>
      <c r="E4" s="261" t="str">
        <f>'Customer Summary'!A2</f>
        <v>XX Civil Engineer Squadron (XX CES)</v>
      </c>
      <c r="F4" s="35"/>
      <c r="G4" s="35"/>
      <c r="H4" s="35"/>
    </row>
    <row r="5" spans="1:16" ht="21" customHeight="1" x14ac:dyDescent="0.4">
      <c r="A5" s="406" t="str">
        <f>'Customer Summary'!B33</f>
        <v>POC: [CE unit designation (i.e. 99 CES)]</v>
      </c>
      <c r="B5" s="40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ht="58.3" x14ac:dyDescent="0.4">
      <c r="A8" s="416" t="s">
        <v>3657</v>
      </c>
      <c r="B8" s="417"/>
      <c r="C8" s="417"/>
      <c r="D8" s="418"/>
      <c r="E8" s="269">
        <v>8500</v>
      </c>
      <c r="F8" s="301">
        <v>1</v>
      </c>
      <c r="G8" s="269">
        <f>E8*F8</f>
        <v>8500</v>
      </c>
      <c r="H8" s="250" t="s">
        <v>3647</v>
      </c>
    </row>
    <row r="9" spans="1:16" ht="58.3" x14ac:dyDescent="0.4">
      <c r="A9" s="416" t="s">
        <v>3593</v>
      </c>
      <c r="B9" s="417"/>
      <c r="C9" s="417"/>
      <c r="D9" s="418"/>
      <c r="E9" s="269">
        <v>1000</v>
      </c>
      <c r="F9" s="301">
        <v>1</v>
      </c>
      <c r="G9" s="269">
        <f t="shared" ref="G9:G14" si="0">E9*F9</f>
        <v>1000</v>
      </c>
      <c r="H9" s="250" t="s">
        <v>3647</v>
      </c>
    </row>
    <row r="10" spans="1:16" ht="58.3" x14ac:dyDescent="0.4">
      <c r="A10" s="416" t="s">
        <v>3594</v>
      </c>
      <c r="B10" s="417"/>
      <c r="C10" s="417"/>
      <c r="D10" s="418"/>
      <c r="E10" s="269">
        <v>1200</v>
      </c>
      <c r="F10" s="301">
        <v>1</v>
      </c>
      <c r="G10" s="269">
        <f t="shared" si="0"/>
        <v>1200</v>
      </c>
      <c r="H10" s="250" t="s">
        <v>3647</v>
      </c>
    </row>
    <row r="11" spans="1:16" ht="58.3" x14ac:dyDescent="0.4">
      <c r="A11" s="416" t="s">
        <v>3595</v>
      </c>
      <c r="B11" s="417"/>
      <c r="C11" s="417"/>
      <c r="D11" s="418"/>
      <c r="E11" s="269">
        <v>1500</v>
      </c>
      <c r="F11" s="301">
        <v>1</v>
      </c>
      <c r="G11" s="269">
        <f t="shared" si="0"/>
        <v>1500</v>
      </c>
      <c r="H11" s="250" t="s">
        <v>3647</v>
      </c>
    </row>
    <row r="12" spans="1:16" ht="58.3" x14ac:dyDescent="0.4">
      <c r="A12" s="416" t="s">
        <v>3596</v>
      </c>
      <c r="B12" s="417"/>
      <c r="C12" s="417"/>
      <c r="D12" s="418"/>
      <c r="E12" s="269">
        <v>2000</v>
      </c>
      <c r="F12" s="301">
        <v>1</v>
      </c>
      <c r="G12" s="269">
        <f t="shared" si="0"/>
        <v>2000</v>
      </c>
      <c r="H12" s="250" t="s">
        <v>3647</v>
      </c>
    </row>
    <row r="13" spans="1:16" ht="58.3" x14ac:dyDescent="0.4">
      <c r="A13" s="416" t="s">
        <v>3597</v>
      </c>
      <c r="B13" s="417"/>
      <c r="C13" s="417"/>
      <c r="D13" s="418"/>
      <c r="E13" s="269">
        <v>300</v>
      </c>
      <c r="F13" s="301">
        <v>1</v>
      </c>
      <c r="G13" s="269">
        <f t="shared" si="0"/>
        <v>300</v>
      </c>
      <c r="H13" s="250" t="s">
        <v>3647</v>
      </c>
    </row>
    <row r="14" spans="1:16" ht="58.3" x14ac:dyDescent="0.4">
      <c r="A14" s="416" t="s">
        <v>3598</v>
      </c>
      <c r="B14" s="417"/>
      <c r="C14" s="417"/>
      <c r="D14" s="418"/>
      <c r="E14" s="269">
        <v>1400</v>
      </c>
      <c r="F14" s="301">
        <v>1</v>
      </c>
      <c r="G14" s="269">
        <f t="shared" si="0"/>
        <v>1400</v>
      </c>
      <c r="H14" s="250" t="s">
        <v>3647</v>
      </c>
    </row>
    <row r="15" spans="1:16" ht="58.3" x14ac:dyDescent="0.4">
      <c r="A15" s="416" t="s">
        <v>3599</v>
      </c>
      <c r="B15" s="417"/>
      <c r="C15" s="417"/>
      <c r="D15" s="418"/>
      <c r="E15" s="269">
        <v>1800</v>
      </c>
      <c r="F15" s="301">
        <v>1</v>
      </c>
      <c r="G15" s="269">
        <f t="shared" ref="G15" si="1">E15*F15</f>
        <v>1800</v>
      </c>
      <c r="H15" s="250" t="s">
        <v>3647</v>
      </c>
    </row>
    <row r="16" spans="1:16" ht="58.3" x14ac:dyDescent="0.4">
      <c r="A16" s="416" t="s">
        <v>3653</v>
      </c>
      <c r="B16" s="417"/>
      <c r="C16" s="417"/>
      <c r="D16" s="418"/>
      <c r="E16" s="269" t="s">
        <v>103</v>
      </c>
      <c r="F16" s="301">
        <v>1</v>
      </c>
      <c r="G16" s="269"/>
      <c r="H16" s="250" t="s">
        <v>3592</v>
      </c>
    </row>
    <row r="17" spans="1:16" x14ac:dyDescent="0.4">
      <c r="A17" s="412" t="s">
        <v>92</v>
      </c>
      <c r="B17" s="413"/>
      <c r="C17" s="413"/>
      <c r="D17" s="413"/>
      <c r="E17" s="271" t="s">
        <v>42</v>
      </c>
      <c r="F17" s="253"/>
      <c r="G17" s="276">
        <f>SUM(G8:G16)</f>
        <v>17700</v>
      </c>
      <c r="H17" s="270"/>
    </row>
    <row r="18" spans="1:16" x14ac:dyDescent="0.4">
      <c r="A18" s="413"/>
      <c r="B18" s="413"/>
      <c r="C18" s="413"/>
      <c r="D18" s="413"/>
      <c r="E18" s="413"/>
      <c r="F18" s="413"/>
      <c r="G18" s="413"/>
      <c r="H18" s="413"/>
    </row>
    <row r="19" spans="1:16" s="4" customFormat="1" ht="15.9" x14ac:dyDescent="0.4">
      <c r="A19" s="410" t="s">
        <v>93</v>
      </c>
      <c r="B19" s="409"/>
      <c r="C19" s="409"/>
      <c r="D19" s="409"/>
      <c r="E19" s="409"/>
      <c r="F19" s="409"/>
      <c r="G19" s="409"/>
      <c r="H19" s="409"/>
      <c r="I19"/>
      <c r="J19"/>
      <c r="K19"/>
      <c r="L19"/>
      <c r="M19"/>
      <c r="N19"/>
      <c r="O19"/>
      <c r="P19"/>
    </row>
    <row r="20" spans="1:16" x14ac:dyDescent="0.4">
      <c r="A20" s="414" t="s">
        <v>94</v>
      </c>
      <c r="B20" s="413"/>
      <c r="C20" s="413"/>
      <c r="D20" s="413"/>
      <c r="E20" s="255" t="s">
        <v>95</v>
      </c>
      <c r="F20" s="256"/>
      <c r="G20" s="252">
        <f>G17</f>
        <v>17700</v>
      </c>
      <c r="H20" s="274"/>
    </row>
    <row r="21" spans="1:16" ht="14.5" customHeight="1" x14ac:dyDescent="0.4">
      <c r="A21" s="414" t="s">
        <v>118</v>
      </c>
      <c r="B21" s="411"/>
      <c r="C21" s="411"/>
      <c r="D21" s="411"/>
      <c r="E21" s="275">
        <v>0.25</v>
      </c>
      <c r="F21" s="268"/>
      <c r="G21" s="269">
        <f>G20*E21</f>
        <v>4425</v>
      </c>
      <c r="H21" s="270" t="s">
        <v>3679</v>
      </c>
    </row>
    <row r="22" spans="1:16" x14ac:dyDescent="0.4">
      <c r="E22" s="272" t="s">
        <v>3925</v>
      </c>
      <c r="F22" s="257"/>
      <c r="G22" s="276">
        <f>SUM(G20:G21)</f>
        <v>22125</v>
      </c>
    </row>
    <row r="23" spans="1:16" ht="58.3" x14ac:dyDescent="0.4">
      <c r="A23" s="416" t="s">
        <v>3653</v>
      </c>
      <c r="B23" s="417"/>
      <c r="C23" s="417"/>
      <c r="D23" s="418"/>
      <c r="E23" s="269" t="s">
        <v>103</v>
      </c>
      <c r="F23" s="301">
        <v>1</v>
      </c>
      <c r="G23" s="269"/>
      <c r="H23" s="250" t="s">
        <v>3592</v>
      </c>
    </row>
    <row r="24" spans="1:16" x14ac:dyDescent="0.4">
      <c r="E24" s="272" t="s">
        <v>98</v>
      </c>
      <c r="F24" s="257"/>
      <c r="G24" s="276">
        <f>SUM(G22:G23)</f>
        <v>22125</v>
      </c>
    </row>
    <row r="26" spans="1:16" ht="15.45" thickBot="1" x14ac:dyDescent="0.45">
      <c r="A26" s="314" t="s">
        <v>3941</v>
      </c>
    </row>
    <row r="27" spans="1:16" ht="32.6" thickBot="1" x14ac:dyDescent="0.45">
      <c r="A27" s="309" t="s">
        <v>3926</v>
      </c>
      <c r="B27" s="310" t="s">
        <v>3927</v>
      </c>
      <c r="C27" s="310" t="s">
        <v>3928</v>
      </c>
      <c r="D27" s="310" t="s">
        <v>3929</v>
      </c>
    </row>
    <row r="28" spans="1:16" ht="15.9" thickBot="1" x14ac:dyDescent="0.45">
      <c r="A28" s="311" t="s">
        <v>3930</v>
      </c>
      <c r="B28" s="312">
        <v>1</v>
      </c>
      <c r="C28" s="313">
        <v>17700</v>
      </c>
      <c r="D28" s="313">
        <v>17700</v>
      </c>
    </row>
    <row r="29" spans="1:16" ht="15.9" thickBot="1" x14ac:dyDescent="0.45">
      <c r="A29" s="311" t="s">
        <v>3931</v>
      </c>
      <c r="B29" s="312">
        <v>1.2</v>
      </c>
      <c r="C29" s="313">
        <v>17700</v>
      </c>
      <c r="D29" s="313">
        <v>21240</v>
      </c>
    </row>
    <row r="30" spans="1:16" ht="15.9" thickBot="1" x14ac:dyDescent="0.45">
      <c r="A30" s="311" t="s">
        <v>3932</v>
      </c>
      <c r="B30" s="312">
        <v>1.4</v>
      </c>
      <c r="C30" s="313">
        <v>17700</v>
      </c>
      <c r="D30" s="313">
        <v>24780</v>
      </c>
    </row>
    <row r="31" spans="1:16" ht="15.9" thickBot="1" x14ac:dyDescent="0.45">
      <c r="A31" s="311" t="s">
        <v>3933</v>
      </c>
      <c r="B31" s="312">
        <v>1.6</v>
      </c>
      <c r="C31" s="313">
        <v>17700</v>
      </c>
      <c r="D31" s="313">
        <v>28320</v>
      </c>
    </row>
    <row r="32" spans="1:16" ht="15.9" thickBot="1" x14ac:dyDescent="0.45">
      <c r="A32" s="311" t="s">
        <v>3934</v>
      </c>
      <c r="B32" s="312">
        <v>1.8</v>
      </c>
      <c r="C32" s="313">
        <v>17700</v>
      </c>
      <c r="D32" s="313">
        <v>31860</v>
      </c>
    </row>
    <row r="33" spans="1:4" ht="15.9" thickBot="1" x14ac:dyDescent="0.45">
      <c r="A33" s="311" t="s">
        <v>3935</v>
      </c>
      <c r="B33" s="312">
        <v>2</v>
      </c>
      <c r="C33" s="313">
        <v>17700</v>
      </c>
      <c r="D33" s="313">
        <v>35400</v>
      </c>
    </row>
    <row r="34" spans="1:4" ht="15.9" thickBot="1" x14ac:dyDescent="0.45">
      <c r="A34" s="311" t="s">
        <v>3936</v>
      </c>
      <c r="B34" s="312">
        <v>2.2999999999999998</v>
      </c>
      <c r="C34" s="313">
        <v>17700</v>
      </c>
      <c r="D34" s="313">
        <v>40710</v>
      </c>
    </row>
    <row r="35" spans="1:4" ht="15.9" thickBot="1" x14ac:dyDescent="0.45">
      <c r="A35" s="311" t="s">
        <v>3937</v>
      </c>
      <c r="B35" s="312">
        <v>2.6</v>
      </c>
      <c r="C35" s="313">
        <v>17700</v>
      </c>
      <c r="D35" s="313">
        <v>46020</v>
      </c>
    </row>
    <row r="36" spans="1:4" ht="15.9" thickBot="1" x14ac:dyDescent="0.45">
      <c r="A36" s="311" t="s">
        <v>3938</v>
      </c>
      <c r="B36" s="312">
        <v>2.9</v>
      </c>
      <c r="C36" s="313">
        <v>17700</v>
      </c>
      <c r="D36" s="313">
        <v>51330</v>
      </c>
    </row>
    <row r="37" spans="1:4" ht="15.45" customHeight="1" x14ac:dyDescent="0.4">
      <c r="A37" s="422" t="s">
        <v>3939</v>
      </c>
      <c r="B37" s="423"/>
      <c r="C37" s="423"/>
      <c r="D37" s="424"/>
    </row>
    <row r="38" spans="1:4" ht="63.9" customHeight="1" thickBot="1" x14ac:dyDescent="0.45">
      <c r="A38" s="425" t="s">
        <v>3940</v>
      </c>
      <c r="B38" s="426"/>
      <c r="C38" s="426"/>
      <c r="D38" s="427"/>
    </row>
  </sheetData>
  <mergeCells count="23">
    <mergeCell ref="A37:D37"/>
    <mergeCell ref="A38:D38"/>
    <mergeCell ref="A23:D23"/>
    <mergeCell ref="A12:D12"/>
    <mergeCell ref="A1:B1"/>
    <mergeCell ref="A2:B2"/>
    <mergeCell ref="A3:B3"/>
    <mergeCell ref="A4:B4"/>
    <mergeCell ref="A5:B5"/>
    <mergeCell ref="A7:H7"/>
    <mergeCell ref="A8:D8"/>
    <mergeCell ref="A9:D9"/>
    <mergeCell ref="A10:D10"/>
    <mergeCell ref="A11:D11"/>
    <mergeCell ref="A19:H19"/>
    <mergeCell ref="A20:D20"/>
    <mergeCell ref="A21:D21"/>
    <mergeCell ref="A16:D16"/>
    <mergeCell ref="A13:D13"/>
    <mergeCell ref="A14:D14"/>
    <mergeCell ref="A17:D17"/>
    <mergeCell ref="A18:H18"/>
    <mergeCell ref="A15:D15"/>
  </mergeCells>
  <hyperlinks>
    <hyperlink ref="H6" r:id="rId1" display="WBDG - AFMAN 32-1084" xr:uid="{7DF6A339-9D43-44D0-A347-1EDB52402A8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3A76B3-8F79-4454-818E-C90F17073039}">
          <x14:formula1>
            <xm:f>'Sheet References'!$L$1:$L$874</xm:f>
          </x14:formula1>
          <xm:sqref>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58084-95FC-43A6-BF82-1F86D155189A}">
  <sheetPr codeName="Sheet8">
    <tabColor rgb="FF00B050"/>
    <pageSetUpPr fitToPage="1"/>
  </sheetPr>
  <dimension ref="A1:P24"/>
  <sheetViews>
    <sheetView zoomScale="80" zoomScaleNormal="80" workbookViewId="0">
      <selection activeCell="E2" sqref="E2"/>
    </sheetView>
  </sheetViews>
  <sheetFormatPr defaultColWidth="9.3046875" defaultRowHeight="14.6" x14ac:dyDescent="0.4"/>
  <cols>
    <col min="1" max="2" width="30.69140625" style="1" customWidth="1"/>
    <col min="3" max="3" width="23.69140625" style="1" customWidth="1"/>
    <col min="4" max="4" width="23.69140625" style="2" customWidth="1"/>
    <col min="5" max="5" width="18.69140625" style="1" customWidth="1"/>
    <col min="6" max="6" width="4.69140625" style="1" customWidth="1"/>
    <col min="7" max="7" width="9.69140625" style="17" customWidth="1"/>
    <col min="8" max="8" width="66.69140625" style="1" customWidth="1"/>
    <col min="9" max="9" width="39" customWidth="1"/>
    <col min="17" max="16384" width="9.3046875" style="1"/>
  </cols>
  <sheetData>
    <row r="1" spans="1:16" s="5" customFormat="1" ht="21" customHeight="1" x14ac:dyDescent="0.4">
      <c r="A1" s="431" t="s">
        <v>14</v>
      </c>
      <c r="B1" s="432"/>
      <c r="C1" s="258"/>
      <c r="D1" s="258" t="s">
        <v>15</v>
      </c>
      <c r="E1" s="259">
        <v>219946</v>
      </c>
      <c r="F1" s="260"/>
      <c r="G1" s="260"/>
      <c r="H1" s="260"/>
      <c r="I1"/>
      <c r="J1"/>
      <c r="K1"/>
      <c r="L1"/>
      <c r="M1"/>
      <c r="N1"/>
      <c r="O1"/>
      <c r="P1"/>
    </row>
    <row r="2" spans="1:16" ht="21" customHeight="1" x14ac:dyDescent="0.4">
      <c r="A2" s="433" t="s">
        <v>3627</v>
      </c>
      <c r="B2" s="434"/>
      <c r="C2" s="260"/>
      <c r="D2" s="258" t="s">
        <v>16</v>
      </c>
      <c r="E2" s="259" t="str">
        <f>VLOOKUP(E1,'Sheet References'!L1:M1009,2,FALSE)</f>
        <v>Base Engineer Covered Storage Facility</v>
      </c>
      <c r="F2" s="260"/>
      <c r="G2" s="260"/>
      <c r="H2" s="260"/>
    </row>
    <row r="3" spans="1:16" ht="21" customHeight="1" x14ac:dyDescent="0.4">
      <c r="A3" s="433" t="s">
        <v>11</v>
      </c>
      <c r="B3" s="434"/>
      <c r="C3" s="258"/>
      <c r="D3" s="258" t="s">
        <v>17</v>
      </c>
      <c r="E3" s="259" t="str">
        <f>VLOOKUP(CATCode,'Sheet References'!L:O,4,FALSE)</f>
        <v>‌https://www.wbdg.org/FFC/AF/AFMAN/219946_Base_Engineer_Covered_Storage_Fac.pdf</v>
      </c>
      <c r="F3" s="260"/>
      <c r="G3" s="260"/>
      <c r="H3" s="260"/>
    </row>
    <row r="4" spans="1:16" ht="21" customHeight="1" x14ac:dyDescent="0.4">
      <c r="A4" s="433" t="s">
        <v>12</v>
      </c>
      <c r="B4" s="434"/>
      <c r="C4" s="35"/>
      <c r="D4" s="35"/>
      <c r="E4" s="261" t="str">
        <f>'Customer Summary'!A2</f>
        <v>XX Civil Engineer Squadron (XX CES)</v>
      </c>
      <c r="F4" s="35"/>
      <c r="G4" s="35"/>
      <c r="H4" s="35"/>
    </row>
    <row r="5" spans="1:16" ht="21" customHeight="1" x14ac:dyDescent="0.4">
      <c r="A5" s="435" t="str">
        <f>'Customer Summary'!B33</f>
        <v>POC: [CE unit designation (i.e. 99 CES)]</v>
      </c>
      <c r="B5" s="436"/>
      <c r="C5" s="35"/>
      <c r="D5" s="35"/>
      <c r="E5" s="261" t="s">
        <v>18</v>
      </c>
      <c r="F5" s="35"/>
      <c r="G5" s="35"/>
      <c r="H5" s="35"/>
    </row>
    <row r="6" spans="1:16" s="4" customFormat="1" ht="31.75" x14ac:dyDescent="0.4">
      <c r="A6" s="262" t="s">
        <v>20</v>
      </c>
      <c r="B6" s="262" t="s">
        <v>21</v>
      </c>
      <c r="C6" s="262" t="s">
        <v>22</v>
      </c>
      <c r="D6" s="262" t="s">
        <v>23</v>
      </c>
      <c r="E6" s="262" t="s">
        <v>24</v>
      </c>
      <c r="F6" s="262" t="s">
        <v>25</v>
      </c>
      <c r="G6" s="263" t="s">
        <v>26</v>
      </c>
      <c r="H6" s="264" t="s">
        <v>27</v>
      </c>
      <c r="I6"/>
      <c r="J6"/>
      <c r="K6"/>
      <c r="L6"/>
      <c r="M6"/>
      <c r="N6"/>
      <c r="O6"/>
      <c r="P6"/>
    </row>
    <row r="7" spans="1:16" s="4" customFormat="1" ht="15.9" x14ac:dyDescent="0.4">
      <c r="A7" s="410" t="s">
        <v>79</v>
      </c>
      <c r="B7" s="409"/>
      <c r="C7" s="409"/>
      <c r="D7" s="409"/>
      <c r="E7" s="409"/>
      <c r="F7" s="409"/>
      <c r="G7" s="409"/>
      <c r="H7" s="409"/>
      <c r="I7"/>
      <c r="J7"/>
      <c r="K7"/>
      <c r="L7"/>
      <c r="M7"/>
      <c r="N7"/>
      <c r="O7"/>
      <c r="P7"/>
    </row>
    <row r="8" spans="1:16" s="14" customFormat="1" ht="29.15" x14ac:dyDescent="0.4">
      <c r="A8" s="428" t="s">
        <v>3600</v>
      </c>
      <c r="B8" s="429"/>
      <c r="C8" s="429"/>
      <c r="D8" s="430"/>
      <c r="E8" s="269">
        <f>'XX CES_219944_CE Shops'!G8</f>
        <v>8500</v>
      </c>
      <c r="F8" s="254">
        <v>1</v>
      </c>
      <c r="G8" s="269">
        <f>E8*F8</f>
        <v>8500</v>
      </c>
      <c r="H8" s="274" t="s">
        <v>119</v>
      </c>
      <c r="J8" s="164"/>
      <c r="K8" s="165"/>
    </row>
    <row r="9" spans="1:16" s="14" customFormat="1" ht="29.15" x14ac:dyDescent="0.4">
      <c r="A9" s="428" t="s">
        <v>3601</v>
      </c>
      <c r="B9" s="429"/>
      <c r="C9" s="429"/>
      <c r="D9" s="430"/>
      <c r="E9" s="269">
        <f>'XX CES_219944_CE Shops'!G9</f>
        <v>1000</v>
      </c>
      <c r="F9" s="254">
        <v>1</v>
      </c>
      <c r="G9" s="269">
        <f t="shared" ref="G9:G18" si="0">E9*F9</f>
        <v>1000</v>
      </c>
      <c r="H9" s="274" t="s">
        <v>119</v>
      </c>
      <c r="J9" s="164"/>
      <c r="K9" s="165"/>
    </row>
    <row r="10" spans="1:16" s="14" customFormat="1" ht="29.15" x14ac:dyDescent="0.4">
      <c r="A10" s="428" t="s">
        <v>3602</v>
      </c>
      <c r="B10" s="429"/>
      <c r="C10" s="429"/>
      <c r="D10" s="430"/>
      <c r="E10" s="269">
        <f>'XX CES_219944_CE Shops'!G10</f>
        <v>1200</v>
      </c>
      <c r="F10" s="254">
        <v>1</v>
      </c>
      <c r="G10" s="269">
        <f t="shared" si="0"/>
        <v>1200</v>
      </c>
      <c r="H10" s="274" t="s">
        <v>119</v>
      </c>
      <c r="J10" s="1"/>
      <c r="K10" s="165"/>
    </row>
    <row r="11" spans="1:16" s="14" customFormat="1" ht="29.15" x14ac:dyDescent="0.4">
      <c r="A11" s="428" t="s">
        <v>3603</v>
      </c>
      <c r="B11" s="429"/>
      <c r="C11" s="429"/>
      <c r="D11" s="430"/>
      <c r="E11" s="269">
        <f>'XX CES_219944_CE Shops'!G11</f>
        <v>1500</v>
      </c>
      <c r="F11" s="254">
        <v>1</v>
      </c>
      <c r="G11" s="269">
        <f t="shared" si="0"/>
        <v>1500</v>
      </c>
      <c r="H11" s="274" t="s">
        <v>119</v>
      </c>
      <c r="J11" s="1"/>
      <c r="K11" s="165"/>
    </row>
    <row r="12" spans="1:16" s="14" customFormat="1" ht="29.15" x14ac:dyDescent="0.4">
      <c r="A12" s="428" t="s">
        <v>3604</v>
      </c>
      <c r="B12" s="429"/>
      <c r="C12" s="429"/>
      <c r="D12" s="430"/>
      <c r="E12" s="269">
        <f>'XX CES_219944_CE Shops'!G12</f>
        <v>2000</v>
      </c>
      <c r="F12" s="254">
        <v>1</v>
      </c>
      <c r="G12" s="269">
        <f t="shared" si="0"/>
        <v>2000</v>
      </c>
      <c r="H12" s="274" t="s">
        <v>119</v>
      </c>
      <c r="J12"/>
      <c r="K12" s="165"/>
    </row>
    <row r="13" spans="1:16" s="14" customFormat="1" ht="29.15" x14ac:dyDescent="0.4">
      <c r="A13" s="428" t="s">
        <v>3605</v>
      </c>
      <c r="B13" s="429"/>
      <c r="C13" s="429"/>
      <c r="D13" s="430"/>
      <c r="E13" s="269">
        <f>'XX CES_219944_CE Shops'!G13</f>
        <v>300</v>
      </c>
      <c r="F13" s="254">
        <v>1</v>
      </c>
      <c r="G13" s="269">
        <f t="shared" si="0"/>
        <v>300</v>
      </c>
      <c r="H13" s="274" t="s">
        <v>119</v>
      </c>
      <c r="J13" s="164"/>
      <c r="K13" s="165"/>
    </row>
    <row r="14" spans="1:16" s="14" customFormat="1" ht="29.15" x14ac:dyDescent="0.4">
      <c r="A14" s="428" t="s">
        <v>3606</v>
      </c>
      <c r="B14" s="429"/>
      <c r="C14" s="429"/>
      <c r="D14" s="430"/>
      <c r="E14" s="269">
        <f>'XX CES_219944_CE Shops'!G14</f>
        <v>1400</v>
      </c>
      <c r="F14" s="254">
        <v>1</v>
      </c>
      <c r="G14" s="269">
        <f t="shared" si="0"/>
        <v>1400</v>
      </c>
      <c r="H14" s="274" t="s">
        <v>119</v>
      </c>
      <c r="J14" s="164"/>
      <c r="K14" s="165"/>
    </row>
    <row r="15" spans="1:16" s="14" customFormat="1" ht="29.15" x14ac:dyDescent="0.4">
      <c r="A15" s="428" t="s">
        <v>3599</v>
      </c>
      <c r="B15" s="429"/>
      <c r="C15" s="429"/>
      <c r="D15" s="430"/>
      <c r="E15" s="269">
        <f>'XX CES_219944_CE Shops'!G15</f>
        <v>1800</v>
      </c>
      <c r="F15" s="254">
        <v>1</v>
      </c>
      <c r="G15" s="269">
        <f t="shared" ref="G15:G17" si="1">E15*F15</f>
        <v>1800</v>
      </c>
      <c r="H15" s="274" t="s">
        <v>119</v>
      </c>
    </row>
    <row r="16" spans="1:16" s="14" customFormat="1" ht="29.15" x14ac:dyDescent="0.4">
      <c r="A16" s="428" t="s">
        <v>3919</v>
      </c>
      <c r="B16" s="429"/>
      <c r="C16" s="429"/>
      <c r="D16" s="430"/>
      <c r="E16" s="269">
        <f>'XX CES_219943_Pavements'!G8</f>
        <v>4000</v>
      </c>
      <c r="F16" s="254">
        <v>1</v>
      </c>
      <c r="G16" s="269">
        <f t="shared" si="1"/>
        <v>4000</v>
      </c>
      <c r="H16" s="274" t="s">
        <v>119</v>
      </c>
    </row>
    <row r="17" spans="1:16" s="14" customFormat="1" x14ac:dyDescent="0.4">
      <c r="A17" s="428" t="s">
        <v>3624</v>
      </c>
      <c r="B17" s="429"/>
      <c r="C17" s="429"/>
      <c r="D17" s="430"/>
      <c r="E17" s="269">
        <f>'XX CES_219944_CE Shops'!G16</f>
        <v>0</v>
      </c>
      <c r="F17" s="254">
        <v>1</v>
      </c>
      <c r="G17" s="269">
        <f t="shared" si="1"/>
        <v>0</v>
      </c>
      <c r="H17" s="277" t="s">
        <v>3674</v>
      </c>
    </row>
    <row r="18" spans="1:16" s="14" customFormat="1" ht="29.15" x14ac:dyDescent="0.4">
      <c r="A18" s="428" t="s">
        <v>3628</v>
      </c>
      <c r="B18" s="429"/>
      <c r="C18" s="429"/>
      <c r="D18" s="430"/>
      <c r="E18" s="269"/>
      <c r="F18" s="254">
        <v>1</v>
      </c>
      <c r="G18" s="269">
        <f t="shared" si="0"/>
        <v>0</v>
      </c>
      <c r="H18" s="277" t="s">
        <v>3630</v>
      </c>
    </row>
    <row r="19" spans="1:16" x14ac:dyDescent="0.4">
      <c r="A19" s="412" t="s">
        <v>90</v>
      </c>
      <c r="B19" s="412"/>
      <c r="C19" s="412"/>
      <c r="D19" s="412"/>
      <c r="E19" s="272" t="s">
        <v>42</v>
      </c>
      <c r="F19" s="251"/>
      <c r="G19" s="276">
        <f>SUM(G8:G18)</f>
        <v>21700</v>
      </c>
      <c r="H19" s="270"/>
    </row>
    <row r="20" spans="1:16" x14ac:dyDescent="0.4">
      <c r="A20" s="413"/>
      <c r="B20" s="413"/>
      <c r="C20" s="413"/>
      <c r="D20" s="413"/>
      <c r="E20" s="413"/>
      <c r="F20" s="413"/>
      <c r="G20" s="413"/>
      <c r="H20" s="413"/>
    </row>
    <row r="21" spans="1:16" s="4" customFormat="1" ht="15.9" x14ac:dyDescent="0.4">
      <c r="A21" s="410" t="s">
        <v>93</v>
      </c>
      <c r="B21" s="409"/>
      <c r="C21" s="409"/>
      <c r="D21" s="409"/>
      <c r="E21" s="409"/>
      <c r="F21" s="409"/>
      <c r="G21" s="409"/>
      <c r="H21" s="409"/>
      <c r="I21"/>
      <c r="J21"/>
      <c r="K21"/>
      <c r="L21"/>
      <c r="M21"/>
      <c r="N21"/>
      <c r="O21"/>
      <c r="P21"/>
    </row>
    <row r="22" spans="1:16" x14ac:dyDescent="0.4">
      <c r="A22" s="414" t="s">
        <v>94</v>
      </c>
      <c r="B22" s="413"/>
      <c r="C22" s="413"/>
      <c r="D22" s="413"/>
      <c r="E22" s="255" t="s">
        <v>95</v>
      </c>
      <c r="F22" s="256"/>
      <c r="G22" s="252">
        <f>G19</f>
        <v>21700</v>
      </c>
      <c r="H22" s="274"/>
    </row>
    <row r="23" spans="1:16" ht="29.15" x14ac:dyDescent="0.4">
      <c r="A23" s="414" t="s">
        <v>118</v>
      </c>
      <c r="B23" s="411"/>
      <c r="C23" s="411"/>
      <c r="D23" s="411"/>
      <c r="E23" s="275">
        <v>0.1</v>
      </c>
      <c r="F23" s="268"/>
      <c r="G23" s="269">
        <f>G22*E23</f>
        <v>2170</v>
      </c>
      <c r="H23" s="270" t="s">
        <v>3680</v>
      </c>
    </row>
    <row r="24" spans="1:16" x14ac:dyDescent="0.4">
      <c r="E24" s="272" t="s">
        <v>98</v>
      </c>
      <c r="F24" s="257"/>
      <c r="G24" s="276">
        <f>SUM(G22:G23)</f>
        <v>23870</v>
      </c>
    </row>
  </sheetData>
  <mergeCells count="22">
    <mergeCell ref="A7:H7"/>
    <mergeCell ref="A14:D14"/>
    <mergeCell ref="A18:D18"/>
    <mergeCell ref="A1:B1"/>
    <mergeCell ref="A2:B2"/>
    <mergeCell ref="A3:B3"/>
    <mergeCell ref="A4:B4"/>
    <mergeCell ref="A5:B5"/>
    <mergeCell ref="A15:D15"/>
    <mergeCell ref="A16:D16"/>
    <mergeCell ref="A21:H21"/>
    <mergeCell ref="A22:D22"/>
    <mergeCell ref="A23:D23"/>
    <mergeCell ref="A8:D8"/>
    <mergeCell ref="A9:D9"/>
    <mergeCell ref="A10:D10"/>
    <mergeCell ref="A11:D11"/>
    <mergeCell ref="A12:D12"/>
    <mergeCell ref="A13:D13"/>
    <mergeCell ref="A19:D19"/>
    <mergeCell ref="A20:H20"/>
    <mergeCell ref="A17:D17"/>
  </mergeCells>
  <hyperlinks>
    <hyperlink ref="H6" r:id="rId1" display="WBDG - AFMAN 32-1084" xr:uid="{0E6C3F57-AA1C-4688-B878-4EF0C7C7E51D}"/>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3614428-04C1-4675-A5F2-962A0DC24A0D}">
          <x14:formula1>
            <xm:f>'Sheet References'!$L$1:$L$874</xm:f>
          </x14:formula1>
          <xm:sqref>E1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2.xml><?xml version="1.0" encoding="utf-8"?>
<ds:datastoreItem xmlns:ds="http://schemas.openxmlformats.org/officeDocument/2006/customXml" ds:itemID="{EE149127-D6C0-4438-9AB3-8CA98F963B63}">
  <ds:schemaRefs>
    <ds:schemaRef ds:uri="http://schemas.microsoft.com/office/2006/metadata/properties"/>
    <ds:schemaRef ds:uri="http://schemas.microsoft.com/office/infopath/2007/PartnerControls"/>
    <ds:schemaRef ds:uri="74ea459b-7bbf-43af-834e-d16fbea12f70"/>
    <ds:schemaRef ds:uri="2c3a53ca-21a8-4d07-b6ac-8c4448cd4f14"/>
  </ds:schemaRefs>
</ds:datastoreItem>
</file>

<file path=customXml/itemProps3.xml><?xml version="1.0" encoding="utf-8"?>
<ds:datastoreItem xmlns:ds="http://schemas.openxmlformats.org/officeDocument/2006/customXml" ds:itemID="{AE9235A7-553D-43B2-8E98-2FC163E8AAFB}"/>
</file>

<file path=docMetadata/LabelInfo.xml><?xml version="1.0" encoding="utf-8"?>
<clbl:labelList xmlns:clbl="http://schemas.microsoft.com/office/2020/mipLabelMetadata">
  <clbl:label id="{51d9dc18-15ea-424b-b24d-55ab4d4e7519}" enabled="1" method="Privileged" siteId="{d5fe813e-0caa-432a-b2ac-d555aa91bd1c}" removed="0"/>
  <clbl:label id="{66d73691-ea97-48b1-95d5-e94f0a46b878}" enabled="0" method="" siteId="{66d73691-ea97-48b1-95d5-e94f0a46b87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28</vt:i4>
      </vt:variant>
    </vt:vector>
  </HeadingPairs>
  <TitlesOfParts>
    <vt:vector size="46" baseType="lpstr">
      <vt:lpstr>Customer Summary</vt:lpstr>
      <vt:lpstr>XX CES_610127_CE Admin</vt:lpstr>
      <vt:lpstr>XX CES_610913_Emergency Mgt</vt:lpstr>
      <vt:lpstr>XX CES_610119_Housing Mgt</vt:lpstr>
      <vt:lpstr>XX CES_140421_EOC</vt:lpstr>
      <vt:lpstr>XX CES_141165_EOD</vt:lpstr>
      <vt:lpstr>XX CES_219943_Pavements</vt:lpstr>
      <vt:lpstr>XX CES_219944_CE Shops</vt:lpstr>
      <vt:lpstr>XX CES_219946_CE Storage</vt:lpstr>
      <vt:lpstr>XX CES_442257_Hazardous Storage</vt:lpstr>
      <vt:lpstr>XX CES_442769_ Housing Storage</vt:lpstr>
      <vt:lpstr>XX CES_730142_Fire Station</vt:lpstr>
      <vt:lpstr>XX CES_141101_Airfield Fire Stn</vt:lpstr>
      <vt:lpstr>UMD</vt:lpstr>
      <vt:lpstr>Fire Station Worksheet</vt:lpstr>
      <vt:lpstr>Support Agreement</vt:lpstr>
      <vt:lpstr>Sheet References</vt:lpstr>
      <vt:lpstr>CatCodes FY26</vt:lpstr>
      <vt:lpstr>'XX CES_140421_EOC'!CATCode</vt:lpstr>
      <vt:lpstr>'XX CES_141101_Airfield Fire Stn'!CATCode</vt:lpstr>
      <vt:lpstr>'XX CES_141165_EOD'!CATCode</vt:lpstr>
      <vt:lpstr>'XX CES_219943_Pavements'!CATCode</vt:lpstr>
      <vt:lpstr>'XX CES_219944_CE Shops'!CATCode</vt:lpstr>
      <vt:lpstr>'XX CES_219946_CE Storage'!CATCode</vt:lpstr>
      <vt:lpstr>'XX CES_442257_Hazardous Storage'!CATCode</vt:lpstr>
      <vt:lpstr>'XX CES_442769_ Housing Storage'!CATCode</vt:lpstr>
      <vt:lpstr>'XX CES_610119_Housing Mgt'!CATCode</vt:lpstr>
      <vt:lpstr>'XX CES_610913_Emergency Mgt'!CATCode</vt:lpstr>
      <vt:lpstr>'XX CES_730142_Fire Station'!CATCode</vt:lpstr>
      <vt:lpstr>CATCode</vt:lpstr>
      <vt:lpstr>'Support Agreement'!Print_Area</vt:lpstr>
      <vt:lpstr>UMD!Print_Area</vt:lpstr>
      <vt:lpstr>'XX CES_140421_EOC'!Print_Area</vt:lpstr>
      <vt:lpstr>'XX CES_141101_Airfield Fire Stn'!Print_Area</vt:lpstr>
      <vt:lpstr>'XX CES_141165_EOD'!Print_Area</vt:lpstr>
      <vt:lpstr>'XX CES_219943_Pavements'!Print_Area</vt:lpstr>
      <vt:lpstr>'XX CES_219944_CE Shops'!Print_Area</vt:lpstr>
      <vt:lpstr>'XX CES_219946_CE Storage'!Print_Area</vt:lpstr>
      <vt:lpstr>'XX CES_442257_Hazardous Storage'!Print_Area</vt:lpstr>
      <vt:lpstr>'XX CES_442769_ Housing Storage'!Print_Area</vt:lpstr>
      <vt:lpstr>'XX CES_610119_Housing Mgt'!Print_Area</vt:lpstr>
      <vt:lpstr>'XX CES_610127_CE Admin'!Print_Area</vt:lpstr>
      <vt:lpstr>'XX CES_610913_Emergency Mgt'!Print_Area</vt:lpstr>
      <vt:lpstr>'XX CES_730142_Fire Station'!Print_Area</vt:lpstr>
      <vt:lpstr>'Support Agreement'!Print_Titles</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Sledge, Elton 'Trey' [USA]</cp:lastModifiedBy>
  <cp:revision/>
  <dcterms:created xsi:type="dcterms:W3CDTF">2011-07-25T14:00:24Z</dcterms:created>
  <dcterms:modified xsi:type="dcterms:W3CDTF">2026-04-06T15:11:31Z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ies>
</file>