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30"/>
  <workbookPr/>
  <mc:AlternateContent xmlns:mc="http://schemas.openxmlformats.org/markup-compatibility/2006">
    <mc:Choice Requires="x15">
      <x15ac:absPath xmlns:x15ac="http://schemas.microsoft.com/office/spreadsheetml/2010/11/ac" url="https://boozallen.sharepoint.com/teams/pmefsp_afcec/Program Sustainment/02 Criteria_Updates/05 Criteria Approved for Publishing/171250_Human Performance Training Center/01 Approved Criteria/"/>
    </mc:Choice>
  </mc:AlternateContent>
  <xr:revisionPtr revIDLastSave="211" documentId="14_{1CBF35A3-02D1-4B23-A371-4112B31C1DE6}" xr6:coauthVersionLast="47" xr6:coauthVersionMax="47" xr10:uidLastSave="{045D7DDD-4565-466F-8307-9A6DA8967EAC}"/>
  <bookViews>
    <workbookView xWindow="-28920" yWindow="-120" windowWidth="29040" windowHeight="15720" activeTab="1" xr2:uid="{00000000-000D-0000-FFFF-FFFF00000000}"/>
  </bookViews>
  <sheets>
    <sheet name="HPTC Calculator" sheetId="4" r:id="rId1"/>
    <sheet name="HPTC Input Sheet" sheetId="5" r:id="rId2"/>
  </sheets>
  <definedNames>
    <definedName name="_xlnm._FilterDatabase" localSheetId="0" hidden="1">'HPTC Calculator'!$A$1:$H$79</definedName>
    <definedName name="_xlnm._FilterDatabase" localSheetId="1" hidden="1">'HPTC Input Sheet'!$A$1:$E$77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4" l="1"/>
  <c r="E31" i="4"/>
  <c r="G29" i="4" l="1"/>
  <c r="E10" i="4"/>
  <c r="E40" i="4" s="1"/>
  <c r="E5" i="4"/>
  <c r="E6" i="4"/>
  <c r="E7" i="4"/>
  <c r="D26" i="4" s="1"/>
  <c r="E8" i="4"/>
  <c r="E9" i="4"/>
  <c r="E11" i="4"/>
  <c r="E35" i="4"/>
  <c r="G35" i="4" s="1"/>
  <c r="D35" i="5" s="1"/>
  <c r="E25" i="4"/>
  <c r="G21" i="4" s="1"/>
  <c r="E65" i="4"/>
  <c r="E66" i="4"/>
  <c r="E64" i="4"/>
  <c r="E56" i="4"/>
  <c r="E57" i="4"/>
  <c r="E58" i="4"/>
  <c r="E59" i="4"/>
  <c r="E60" i="4"/>
  <c r="E55" i="4"/>
  <c r="E45" i="4"/>
  <c r="E46" i="4"/>
  <c r="E44" i="4"/>
  <c r="E24" i="4"/>
  <c r="E17" i="4"/>
  <c r="E4" i="4"/>
  <c r="E49" i="4" s="1"/>
  <c r="E51" i="4" l="1"/>
  <c r="G51" i="4" s="1"/>
  <c r="E52" i="4"/>
  <c r="G15" i="4"/>
  <c r="G14" i="4"/>
  <c r="G13" i="4"/>
  <c r="E41" i="4"/>
  <c r="G41" i="4" s="1"/>
  <c r="D70" i="4"/>
  <c r="G68" i="4"/>
  <c r="G63" i="4"/>
  <c r="E50" i="4"/>
  <c r="G50" i="4" s="1"/>
  <c r="D49" i="5" s="1"/>
  <c r="G26" i="4"/>
  <c r="E61" i="4"/>
  <c r="D72" i="4" l="1"/>
  <c r="G72" i="4" s="1"/>
  <c r="D73" i="4" l="1"/>
  <c r="E75" i="4"/>
  <c r="G75" i="4" s="1"/>
  <c r="D73" i="5" s="1"/>
  <c r="C73" i="4"/>
  <c r="D70" i="5"/>
  <c r="D66" i="5"/>
  <c r="G66" i="4"/>
  <c r="D64" i="5" s="1"/>
  <c r="G65" i="4"/>
  <c r="D63" i="5" s="1"/>
  <c r="D61" i="5"/>
  <c r="G61" i="4"/>
  <c r="D59" i="5" s="1"/>
  <c r="G60" i="4"/>
  <c r="D58" i="5" s="1"/>
  <c r="G59" i="4"/>
  <c r="D57" i="5" s="1"/>
  <c r="G57" i="4"/>
  <c r="D55" i="5" s="1"/>
  <c r="G56" i="4"/>
  <c r="D54" i="5" s="1"/>
  <c r="G55" i="4"/>
  <c r="D53" i="5" s="1"/>
  <c r="G52" i="4"/>
  <c r="D51" i="5" s="1"/>
  <c r="D50" i="5"/>
  <c r="G46" i="4"/>
  <c r="D46" i="5" s="1"/>
  <c r="G45" i="4"/>
  <c r="D45" i="5" s="1"/>
  <c r="G44" i="4"/>
  <c r="D44" i="5" s="1"/>
  <c r="D34" i="4"/>
  <c r="G34" i="4" s="1"/>
  <c r="D34" i="5" s="1"/>
  <c r="G31" i="4"/>
  <c r="D31" i="5" s="1"/>
  <c r="D30" i="4"/>
  <c r="D26" i="5"/>
  <c r="G25" i="4"/>
  <c r="D25" i="5" s="1"/>
  <c r="G24" i="4"/>
  <c r="D24" i="5" s="1"/>
  <c r="G23" i="4"/>
  <c r="D23" i="5" s="1"/>
  <c r="D22" i="4"/>
  <c r="G22" i="4" s="1"/>
  <c r="D21" i="5"/>
  <c r="D18" i="4"/>
  <c r="G18" i="4" s="1"/>
  <c r="D18" i="5" s="1"/>
  <c r="G17" i="4"/>
  <c r="D17" i="5" s="1"/>
  <c r="E16" i="4"/>
  <c r="D16" i="4"/>
  <c r="D15" i="5"/>
  <c r="D13" i="5"/>
  <c r="D22" i="5" l="1"/>
  <c r="C74" i="4"/>
  <c r="G74" i="4" s="1"/>
  <c r="D72" i="5" s="1"/>
  <c r="G73" i="4"/>
  <c r="D71" i="5" s="1"/>
  <c r="G16" i="4"/>
  <c r="D16" i="5" s="1"/>
  <c r="D14" i="5"/>
  <c r="G30" i="4"/>
  <c r="D30" i="5" s="1"/>
  <c r="G58" i="4"/>
  <c r="D56" i="5" s="1"/>
  <c r="G49" i="4"/>
  <c r="D48" i="5" s="1"/>
  <c r="G36" i="4"/>
  <c r="G27" i="4" a="1"/>
  <c r="G27" i="4" s="1"/>
  <c r="D27" i="5" s="1"/>
  <c r="G70" i="4"/>
  <c r="D68" i="5" s="1"/>
  <c r="G19" i="4" l="1" a="1"/>
  <c r="G19" i="4" s="1"/>
  <c r="D19" i="5" s="1"/>
  <c r="D36" i="5"/>
  <c r="G37" i="4"/>
  <c r="D37" i="5" s="1"/>
  <c r="G32" i="4"/>
  <c r="D32" i="5" s="1"/>
  <c r="E39" i="4"/>
  <c r="D69" i="4" l="1"/>
  <c r="D71" i="4" s="1"/>
  <c r="G39" i="4"/>
  <c r="D39" i="5" s="1"/>
  <c r="G40" i="4"/>
  <c r="D40" i="5" s="1"/>
  <c r="G69" i="4" l="1"/>
  <c r="D67" i="5" s="1"/>
  <c r="G71" i="4"/>
  <c r="D69" i="5" s="1"/>
  <c r="G67" i="4"/>
  <c r="D65" i="5" s="1"/>
  <c r="D41" i="5"/>
  <c r="G64" i="4"/>
  <c r="G42" i="4" l="1"/>
  <c r="D42" i="5" s="1"/>
  <c r="G76" i="4"/>
  <c r="D74" i="5" s="1"/>
  <c r="D62" i="5"/>
  <c r="D29" i="5" l="1"/>
  <c r="D75" i="5" s="1"/>
  <c r="G77" i="4"/>
  <c r="D76" i="5" l="1"/>
  <c r="D77" i="5" s="1"/>
  <c r="G78" i="4"/>
  <c r="G79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<sst xmlns="http://schemas.openxmlformats.org/spreadsheetml/2006/main" count="334" uniqueCount="178">
  <si>
    <t>Table 1: Human Performance Training Center (HPTC) Space Allocation Calculator</t>
  </si>
  <si>
    <t xml:space="preserve">This spreadsheet serves as a tool to estimate the square footage needed for the various components of a HPTC facility.  </t>
  </si>
  <si>
    <t>Enter your data in the green cells to generate square footage (SF) estimates.</t>
  </si>
  <si>
    <t>FACILITY PARAMETER</t>
  </si>
  <si>
    <t>PARAMETER DESCRIPTION</t>
  </si>
  <si>
    <t>BASELINE</t>
  </si>
  <si>
    <t>FACTOR</t>
  </si>
  <si>
    <t xml:space="preserve">INPUT </t>
  </si>
  <si>
    <t>DIRECTIONS FOR "INPUT" ENTRIES</t>
  </si>
  <si>
    <t xml:space="preserve">SF </t>
  </si>
  <si>
    <t>Total number of eligible AFSPECWAR Operators (aka "users")</t>
  </si>
  <si>
    <t>Total number of eligible Aircrew (aka "users")</t>
  </si>
  <si>
    <t xml:space="preserve">Number (#) of total eligible users in the geographic area (3 mile radius) </t>
  </si>
  <si>
    <t>Enter the total number of eligible users authorized to utilize HPTC.</t>
  </si>
  <si>
    <t>Maximum # of users for Strength and Conditioning Program</t>
  </si>
  <si>
    <t>Estimated maximum # of users each functional area will support, at one time.</t>
  </si>
  <si>
    <t>Enter maximum number of users Strength and Conditioning Program can support, at one time.</t>
  </si>
  <si>
    <t>Maximum # of users for Recovery / Rehabilitation Program</t>
  </si>
  <si>
    <t>Enter maximum number of users Recovery / Rehabilitation Program can support, at one time.</t>
  </si>
  <si>
    <t>Maximum # of users for Performance Nutrition Program</t>
  </si>
  <si>
    <t>Enter maximum number of users Performance Nutrition Program can support, at one time.</t>
  </si>
  <si>
    <t>Maximum # of users for Cognitive Enhancement Program</t>
  </si>
  <si>
    <t>Enter maximum number of users Cognitive Enhancement Program can support, at one time.</t>
  </si>
  <si>
    <t>Maximum # of users for Integrated Resiliency</t>
  </si>
  <si>
    <t>Enter PEAK number of users in Integrated Resiliency at one time.</t>
  </si>
  <si>
    <t>Peak number of users in facility, at one time</t>
  </si>
  <si>
    <t>Peak number of users in facility, at one time, SUM of peak users</t>
  </si>
  <si>
    <t>Strength and Conditioning</t>
  </si>
  <si>
    <t>Required Square Footage Per Operator</t>
  </si>
  <si>
    <t>Multi-Purpose Training Area</t>
  </si>
  <si>
    <t>Auto calculates based on minimum SF allocated and % of user usage</t>
  </si>
  <si>
    <t>[Automatic calculation - no input needed]</t>
  </si>
  <si>
    <t>Cardio Training Area</t>
  </si>
  <si>
    <t>Minimum SF / percentage of user usage</t>
  </si>
  <si>
    <t>Strength &amp; Conditioning / Agility Training Area</t>
  </si>
  <si>
    <t>Evaluation Rooms</t>
  </si>
  <si>
    <t>One 120 SF room for use by every 4 full-time assigned provider</t>
  </si>
  <si>
    <t>[Automatic calculation - no input needed]*</t>
  </si>
  <si>
    <t>Staff Offices</t>
  </si>
  <si>
    <t>36 SF per office x number of full-time assigned providers</t>
  </si>
  <si>
    <r>
      <t xml:space="preserve">Insert total number of </t>
    </r>
    <r>
      <rPr>
        <sz val="10"/>
        <rFont val="Arial"/>
        <family val="2"/>
      </rPr>
      <t xml:space="preserve">full-time assigned </t>
    </r>
    <r>
      <rPr>
        <sz val="10"/>
        <color theme="1"/>
        <rFont val="Arial"/>
        <family val="2"/>
      </rPr>
      <t>providers. *</t>
    </r>
  </si>
  <si>
    <t>Storage Room</t>
  </si>
  <si>
    <t>4 SF per maximum number of users</t>
  </si>
  <si>
    <t>Circulation</t>
  </si>
  <si>
    <t>Add 28% for circulation space (hallways for individual rooms not  large areas)*</t>
  </si>
  <si>
    <t xml:space="preserve">Circulation </t>
  </si>
  <si>
    <t xml:space="preserve">Recovery / Rehabilitation </t>
  </si>
  <si>
    <t>Physical Therapy Exercise Area</t>
  </si>
  <si>
    <t>Minimum SF per treatment provider</t>
  </si>
  <si>
    <t xml:space="preserve">Evaluation / Treatment Rooms </t>
  </si>
  <si>
    <t>Two 150 SF rooms per full-time assigned treatment provider</t>
  </si>
  <si>
    <t>Sports Medicine / Physical Assessment Area</t>
  </si>
  <si>
    <t>Massage Therapist</t>
  </si>
  <si>
    <t>One room per assigned Massage Therapist</t>
  </si>
  <si>
    <t>Insert total number of Massage Therapists.</t>
  </si>
  <si>
    <t xml:space="preserve">Staff Offices </t>
  </si>
  <si>
    <t>Insert total number of full-time assigned Physical Therapists, Athletic Trainers, Rehabilitation Assistants, Occupational Therapists, Massage Therapists, Chiropractors, Sports Medicine Physicians, and additional provider types as applicable.*</t>
  </si>
  <si>
    <t>Add 28% for circulation space (hallways for individual rooms not  large areas)</t>
  </si>
  <si>
    <t>Performance Nutrition</t>
  </si>
  <si>
    <t>Nutrition Education Training Room / Teaching Kitchen</t>
  </si>
  <si>
    <t>1 per facility (800 SF)</t>
  </si>
  <si>
    <t>If authorized</t>
  </si>
  <si>
    <t xml:space="preserve">Nutrition Education Storage Room </t>
  </si>
  <si>
    <t>20 SF per full-time assigned Dietician</t>
  </si>
  <si>
    <t>36 SF per office x number of full-time assigned staff</t>
  </si>
  <si>
    <t>Insert number of full-time assigned Dieticians.*</t>
  </si>
  <si>
    <t xml:space="preserve">Add 28% for circulation space  (hallways for individual rooms not  large areas) </t>
  </si>
  <si>
    <t>Cognitive Enhancement</t>
  </si>
  <si>
    <t>Cognitive Enhancement Training Area with minimum of one NeuroTracker &amp; two Senaptecs (plus projection room &amp; desk)</t>
  </si>
  <si>
    <t>420 SF x number of cognitive staff</t>
  </si>
  <si>
    <t>100 SF per office x number of full-time assigned staff</t>
  </si>
  <si>
    <t>Insert total number of full-time staff assigned to Cognitive Enhancement Program.*</t>
  </si>
  <si>
    <t>5% of training area space SF</t>
  </si>
  <si>
    <t>[Automatic calculation no input needed]*</t>
  </si>
  <si>
    <t>Integrated Resiliency</t>
  </si>
  <si>
    <t>Insert number of full-time assigned Chaplain Corps (Chaplain and Religious Affairs Airmen), Psychologists, Licensed Clinical Social Workers, Mental Health Technicians, and others as applicable.*</t>
  </si>
  <si>
    <t>Large Discussion Rooms</t>
  </si>
  <si>
    <t>One 200 SF room to accommodate 10 people, if more than 20 users at Peak usage</t>
  </si>
  <si>
    <t>Small Discussion Rooms</t>
  </si>
  <si>
    <t>One 100 SF room to accommodate 6 people,1 for every 6 users minus the large discussion room if added</t>
  </si>
  <si>
    <r>
      <t xml:space="preserve">Restoration / Regeneration Apparatus - </t>
    </r>
    <r>
      <rPr>
        <b/>
        <i/>
        <sz val="11"/>
        <rFont val="Arial"/>
        <family val="2"/>
      </rPr>
      <t>If Authorized</t>
    </r>
  </si>
  <si>
    <t>Minimum SF/percentage of user usage</t>
  </si>
  <si>
    <t>Sleep Pods</t>
  </si>
  <si>
    <t>If authorized - 40 SF each (usually program 8 units)</t>
  </si>
  <si>
    <t>If authorized, insert total number of sleep pods.</t>
  </si>
  <si>
    <t>Float Tanks</t>
  </si>
  <si>
    <t>If authorized - 60 SF each (usually program 3 units)</t>
  </si>
  <si>
    <t>If authorized, insert total number of float tanks.</t>
  </si>
  <si>
    <t>Alpha Chairs</t>
  </si>
  <si>
    <t>If authorized - 15 SF each (usually program 12 units)</t>
  </si>
  <si>
    <t>If authorized, insert total number of alpha chairs.</t>
  </si>
  <si>
    <t>Circulation (0 SF)</t>
  </si>
  <si>
    <t>AFSPECWAR-Specific Requirements</t>
  </si>
  <si>
    <t>(in addition to above HPTC Facility requirements)</t>
  </si>
  <si>
    <t>Aquatic Pools/Aquatic Treadmills</t>
  </si>
  <si>
    <t>1 with threshold requirement of 100 unit assigned AFSPECWAR operators</t>
  </si>
  <si>
    <t>Combative Training Space</t>
  </si>
  <si>
    <t xml:space="preserve">1 per every 35 AFSPECWAR operators  (can have up to 4 at Training Centers) </t>
  </si>
  <si>
    <t>Functional Training Space (Vision / Target Acquisition)</t>
  </si>
  <si>
    <t>1 per every 35 AFSPECWAR operators</t>
  </si>
  <si>
    <t>Motion Analysis Room</t>
  </si>
  <si>
    <r>
      <t xml:space="preserve">Hydro Therapy and Training Pools - </t>
    </r>
    <r>
      <rPr>
        <b/>
        <i/>
        <sz val="11"/>
        <rFont val="Arial"/>
        <family val="2"/>
      </rPr>
      <t>If Authorized</t>
    </r>
  </si>
  <si>
    <t>Sauna</t>
  </si>
  <si>
    <t>If authorized - 40 SF per seat in sauna (includes supporting mechanical equipment)</t>
  </si>
  <si>
    <t>If authorized, insert maximum number of users.</t>
  </si>
  <si>
    <t xml:space="preserve">Hot / Cold "Combo" Tub </t>
  </si>
  <si>
    <t>If authorized - 140 SF per hot / cold "combo" tubs (includes supporting mechanical equipment)</t>
  </si>
  <si>
    <t>If authorized, insert number of hot / cold "combo" tubs</t>
  </si>
  <si>
    <t>Underwater Chamber Treadmill</t>
  </si>
  <si>
    <t>If authorized - 180 SF treadmill in a portable chamber; as opposed to a built-in pool.</t>
  </si>
  <si>
    <t>If authorized, insert number of underwater treadmills</t>
  </si>
  <si>
    <t>Small Training Pool (6-8 lanes)</t>
  </si>
  <si>
    <t>If authorized - 50m length, supports between 100 - 200 users (unit and student assigned)</t>
  </si>
  <si>
    <t>If authorized, insert "1"</t>
  </si>
  <si>
    <t>Medium Training Pool (10 lanes)</t>
  </si>
  <si>
    <t>If authorized - 50m length, supports between 200 - 400 users (unit and student assigned)</t>
  </si>
  <si>
    <t>Large Training Pool (12 lanes)</t>
  </si>
  <si>
    <t>If authorized - 50m length, supports 400+ users (unit and student assigned)</t>
  </si>
  <si>
    <t>Pump Room</t>
  </si>
  <si>
    <t>If authorized - 120 SF pump room to support pool (50m length, regardless of lane numbers)</t>
  </si>
  <si>
    <t>Support Spaces</t>
  </si>
  <si>
    <t>Entry Control Point / ID Check / Reception Desk</t>
  </si>
  <si>
    <t>1 per facility (120 SF to include all components)</t>
  </si>
  <si>
    <t>Non-Treatment Staff Offices (Private)</t>
  </si>
  <si>
    <t>1 per full-time assigned staff</t>
  </si>
  <si>
    <t>Insert number of full-time assigned "non-treatment" staff (e.g., Program Managers, Quality Assurance, etc.).*</t>
  </si>
  <si>
    <t>Non-Treatment Staff Offices (Cubicle)</t>
  </si>
  <si>
    <t>Insert number of full-time assigned "non-treatment" staff (e.g., Administrative Personnel, Researchers, Data Analysts, etc.).*</t>
  </si>
  <si>
    <t>Classroom / Group Discussion Room</t>
  </si>
  <si>
    <t xml:space="preserve">20 SF per seat for training /education, counseling, and meeting activities </t>
  </si>
  <si>
    <t>Insert maximum number of classroom seats needed for training/education, counseling and meeting activities. A FTE resiliency staff or Dietician required</t>
  </si>
  <si>
    <t>Conference Room / Team Room</t>
  </si>
  <si>
    <t>(see guidance in column F for facilities with more than 49 full-time staff)</t>
  </si>
  <si>
    <t>Note: For HPTC facilities with more than 49 full-time staff. See the Whole Building Design Guide’s (WBDG) AFMAN 32-1084 Facility Requirements Standards  *</t>
  </si>
  <si>
    <t>Patient Kiosk</t>
  </si>
  <si>
    <t>1 per facility (20 SF)</t>
  </si>
  <si>
    <t>Administrative Support</t>
  </si>
  <si>
    <t>Copy room, printer, office supplies, etc. (8 SF * number of full-time assigned staff)</t>
  </si>
  <si>
    <t>Records Storage</t>
  </si>
  <si>
    <t>2 SF *(# of Strength &amp; Conditioning Specialists + # of PTs &amp; ATs + # of Dieticians + # of Sport Psychologists) [full-time assigned staff]</t>
  </si>
  <si>
    <t>Staff Break Room</t>
  </si>
  <si>
    <t>3 SF per full-time assigned staff (includes space for sink, microwave &amp; refrigerator)</t>
  </si>
  <si>
    <t>Vending Area</t>
  </si>
  <si>
    <t>3 SF per peak users in facility, 50 SF min, 200 Max</t>
  </si>
  <si>
    <t>Laundry</t>
  </si>
  <si>
    <t>180 SF Laundry + 30 SF per 500 authorized users, above first 500</t>
  </si>
  <si>
    <t>Locker Room / Dressing Area / Showers</t>
  </si>
  <si>
    <t>12% of workout areas (range 8% - 15%)</t>
  </si>
  <si>
    <t>Large Equipment Storage</t>
  </si>
  <si>
    <t>500 SF per each Strength and Conditioning provider ("coach")</t>
  </si>
  <si>
    <t>TOTAL NET FUNCTIONAL SIZE</t>
  </si>
  <si>
    <t>Calculated facility size for functional training space requirements</t>
  </si>
  <si>
    <t>TOTAL  NET FUNCTIONAL SIZE</t>
  </si>
  <si>
    <t xml:space="preserve">Net to Gross </t>
  </si>
  <si>
    <t>Add 30% to account for common / ancillary space (e.g., primary circulation, mechanical, electrical, custodial, etc.)</t>
  </si>
  <si>
    <t>TOTAL SF AUTHORIZATION</t>
  </si>
  <si>
    <t>Enter the total number of  AFSPECWAR Operators authorized to utilize HPTC.</t>
  </si>
  <si>
    <t>Enter the total number of Aircrew authorized to utilize HPTC.</t>
  </si>
  <si>
    <t>Enter PEAK number of users Strength and Conditioning Program at one time.</t>
  </si>
  <si>
    <t>Enter PEAK number of users Recovery / Rehabilitation Program at one time.</t>
  </si>
  <si>
    <t>Enter PEAK number of users Performance Nutrition Program at one time.</t>
  </si>
  <si>
    <t>Enter PEAK number of users Cognitive Enhancement Program at one time.</t>
  </si>
  <si>
    <t>Total users in the faculty at one time, [Automatic calculation - no input needed]</t>
  </si>
  <si>
    <t>Insert the number of Full Time staff</t>
  </si>
  <si>
    <t xml:space="preserve"> Insert total Peak number of assigned Massage Therapists.</t>
  </si>
  <si>
    <t>Insert total PEAK number of assigned Physical Therapists, Athletic Trainers, Rehabilitation Assistants, Occupational Therapists, Massage Therapists, Chiropractors, Sports Medicine Physicians, and additional provider types as applicable.</t>
  </si>
  <si>
    <t>Is a Teaching Kitchen Authorized? if yes enter 1, MUST HAVE FTE DIETICIAN AASSIGNED</t>
  </si>
  <si>
    <t>Insert number of full-time assigned Dieticians.</t>
  </si>
  <si>
    <t xml:space="preserve">Cognitive Enhancement Training Area </t>
  </si>
  <si>
    <t xml:space="preserve"> Insert total number of full-time staff assigned to Cognitive Enhancement Program.</t>
  </si>
  <si>
    <t xml:space="preserve"> Insert number of full-time assigned Chaplain Corps (Chaplain and Religious Affairs Airmen), Psychologists, Licensed Clinical Social Workers, Mental Health Technicians, and others as applicable.</t>
  </si>
  <si>
    <t>If authorized, insert PEAK  number of USERS</t>
  </si>
  <si>
    <t>Earned if more than 20 users at Peak time [Automatic calculation no input needed]*</t>
  </si>
  <si>
    <t>Insert number of full-time assigned "non-treatment" staff (e.g., Program Managers, Quality Assurance, etc.).</t>
  </si>
  <si>
    <t>Insert number of full-time assigned "non-treatment" staff (e.g., Administrative Personnel, Researchers, Data Analysts, etc.).</t>
  </si>
  <si>
    <t>Insert maximum number of CLASSROOM SEATS needed for training/education, counseling and meeting activities.Use this if not adding group rooms for resilency integration</t>
  </si>
  <si>
    <t>Note: For HPTC facilities with more than 49 full-time staff. See the Whole Building Design Guide’s (WBDG) AFMAN 32-1084 Facility Requirements Standards.</t>
  </si>
  <si>
    <t xml:space="preserve">Admin Circulation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</si>
</sst>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rgb="FF000000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i/>
      <sz val="10"/>
      <name val="Arial"/>
      <family val="2"/>
    </font>
    <font>
      <b/>
      <i/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i/>
      <sz val="11"/>
      <name val="Arial"/>
      <family val="2"/>
    </font>
    <font>
      <b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8" fillId="5" borderId="0" xfId="0" applyFont="1" applyFill="1"/>
    <xf numFmtId="0" fontId="10" fillId="0" borderId="5" xfId="0" applyFont="1" applyBorder="1" applyAlignment="1">
      <alignment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0" fillId="2" borderId="10" xfId="0" applyFont="1" applyFill="1" applyBorder="1" applyAlignment="1">
      <alignment vertical="center" wrapText="1"/>
    </xf>
    <xf numFmtId="0" fontId="10" fillId="2" borderId="5" xfId="0" applyFont="1" applyFill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" fillId="2" borderId="13" xfId="0" applyFont="1" applyFill="1" applyBorder="1" applyAlignment="1">
      <alignment horizontal="right" vertical="center" wrapText="1"/>
    </xf>
    <xf numFmtId="0" fontId="10" fillId="2" borderId="14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right" vertical="center" wrapText="1"/>
    </xf>
    <xf numFmtId="0" fontId="10" fillId="2" borderId="12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4" fillId="6" borderId="4" xfId="0" applyFont="1" applyFill="1" applyBorder="1" applyAlignment="1">
      <alignment horizontal="center" vertical="center" wrapText="1"/>
    </xf>
    <xf numFmtId="3" fontId="16" fillId="6" borderId="8" xfId="0" applyNumberFormat="1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vertical="center"/>
    </xf>
    <xf numFmtId="0" fontId="9" fillId="6" borderId="14" xfId="0" applyFont="1" applyFill="1" applyBorder="1" applyAlignment="1">
      <alignment horizontal="left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5" fillId="6" borderId="8" xfId="0" applyFont="1" applyFill="1" applyBorder="1" applyAlignment="1">
      <alignment vertical="center"/>
    </xf>
    <xf numFmtId="0" fontId="10" fillId="0" borderId="3" xfId="0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/>
    </xf>
    <xf numFmtId="3" fontId="9" fillId="6" borderId="8" xfId="0" applyNumberFormat="1" applyFont="1" applyFill="1" applyBorder="1" applyAlignment="1">
      <alignment horizontal="center" vertical="center"/>
    </xf>
    <xf numFmtId="3" fontId="2" fillId="0" borderId="3" xfId="0" applyNumberFormat="1" applyFont="1" applyBorder="1" applyAlignment="1" applyProtection="1">
      <alignment horizontal="center" vertical="center"/>
      <protection locked="0"/>
    </xf>
    <xf numFmtId="3" fontId="2" fillId="0" borderId="1" xfId="0" applyNumberFormat="1" applyFont="1" applyBorder="1" applyAlignment="1" applyProtection="1">
      <alignment horizontal="center" vertical="center"/>
      <protection locked="0"/>
    </xf>
    <xf numFmtId="3" fontId="2" fillId="0" borderId="14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0" fontId="9" fillId="6" borderId="8" xfId="0" applyFont="1" applyFill="1" applyBorder="1" applyAlignment="1">
      <alignment horizontal="center" vertical="center"/>
    </xf>
    <xf numFmtId="1" fontId="2" fillId="3" borderId="3" xfId="0" applyNumberFormat="1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 applyProtection="1">
      <alignment horizontal="center" vertical="center"/>
      <protection locked="0"/>
    </xf>
    <xf numFmtId="1" fontId="10" fillId="3" borderId="1" xfId="0" applyNumberFormat="1" applyFont="1" applyFill="1" applyBorder="1" applyAlignment="1" applyProtection="1">
      <alignment horizontal="center" vertical="center"/>
      <protection locked="0"/>
    </xf>
    <xf numFmtId="3" fontId="16" fillId="6" borderId="8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 wrapText="1"/>
    </xf>
    <xf numFmtId="0" fontId="9" fillId="6" borderId="14" xfId="0" applyFont="1" applyFill="1" applyBorder="1" applyAlignment="1">
      <alignment horizontal="center" vertical="center"/>
    </xf>
    <xf numFmtId="1" fontId="2" fillId="0" borderId="12" xfId="0" applyNumberFormat="1" applyFont="1" applyBorder="1" applyAlignment="1" applyProtection="1">
      <alignment horizontal="center" vertical="center"/>
      <protection locked="0"/>
    </xf>
    <xf numFmtId="3" fontId="2" fillId="0" borderId="12" xfId="0" applyNumberFormat="1" applyFont="1" applyBorder="1" applyAlignment="1" applyProtection="1">
      <alignment horizontal="center" vertical="center"/>
      <protection locked="0"/>
    </xf>
    <xf numFmtId="0" fontId="10" fillId="2" borderId="11" xfId="0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1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1" fontId="2" fillId="0" borderId="0" xfId="0" applyNumberFormat="1" applyFont="1" applyAlignment="1">
      <alignment vertical="center"/>
    </xf>
    <xf numFmtId="3" fontId="10" fillId="6" borderId="8" xfId="0" applyNumberFormat="1" applyFont="1" applyFill="1" applyBorder="1" applyAlignment="1">
      <alignment horizontal="center" vertical="center"/>
    </xf>
    <xf numFmtId="0" fontId="10" fillId="0" borderId="14" xfId="0" applyFont="1" applyBorder="1" applyAlignment="1">
      <alignment vertical="center" wrapText="1"/>
    </xf>
    <xf numFmtId="3" fontId="10" fillId="6" borderId="14" xfId="0" applyNumberFormat="1" applyFont="1" applyFill="1" applyBorder="1" applyAlignment="1">
      <alignment horizontal="center" vertical="center" wrapText="1"/>
    </xf>
    <xf numFmtId="3" fontId="16" fillId="6" borderId="14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1" fontId="2" fillId="0" borderId="3" xfId="0" applyNumberFormat="1" applyFont="1" applyBorder="1" applyAlignment="1" applyProtection="1">
      <alignment horizontal="center" vertical="center"/>
      <protection locked="0"/>
    </xf>
    <xf numFmtId="3" fontId="4" fillId="4" borderId="16" xfId="0" applyNumberFormat="1" applyFont="1" applyFill="1" applyBorder="1" applyAlignment="1">
      <alignment horizontal="center" vertical="center"/>
    </xf>
    <xf numFmtId="3" fontId="4" fillId="4" borderId="17" xfId="0" applyNumberFormat="1" applyFont="1" applyFill="1" applyBorder="1" applyAlignment="1">
      <alignment horizontal="center" vertical="center"/>
    </xf>
    <xf numFmtId="1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14" xfId="0" applyFont="1" applyBorder="1" applyAlignment="1">
      <alignment horizontal="right" vertical="center"/>
    </xf>
    <xf numFmtId="3" fontId="5" fillId="6" borderId="22" xfId="0" applyNumberFormat="1" applyFont="1" applyFill="1" applyBorder="1" applyAlignment="1">
      <alignment horizontal="center" vertical="center"/>
    </xf>
    <xf numFmtId="3" fontId="5" fillId="6" borderId="23" xfId="0" applyNumberFormat="1" applyFont="1" applyFill="1" applyBorder="1" applyAlignment="1">
      <alignment horizontal="center" vertical="center"/>
    </xf>
    <xf numFmtId="3" fontId="4" fillId="4" borderId="24" xfId="0" applyNumberFormat="1" applyFont="1" applyFill="1" applyBorder="1" applyAlignment="1">
      <alignment horizontal="center" vertical="center"/>
    </xf>
    <xf numFmtId="3" fontId="4" fillId="4" borderId="22" xfId="0" applyNumberFormat="1" applyFont="1" applyFill="1" applyBorder="1" applyAlignment="1">
      <alignment horizontal="center" vertical="center"/>
    </xf>
    <xf numFmtId="3" fontId="1" fillId="4" borderId="17" xfId="0" applyNumberFormat="1" applyFont="1" applyFill="1" applyBorder="1" applyAlignment="1">
      <alignment horizontal="center" vertical="center"/>
    </xf>
    <xf numFmtId="3" fontId="5" fillId="4" borderId="22" xfId="0" applyNumberFormat="1" applyFont="1" applyFill="1" applyBorder="1" applyAlignment="1">
      <alignment horizontal="center" vertical="center"/>
    </xf>
    <xf numFmtId="0" fontId="10" fillId="0" borderId="12" xfId="0" applyFont="1" applyBorder="1" applyAlignment="1">
      <alignment vertical="center"/>
    </xf>
    <xf numFmtId="0" fontId="12" fillId="0" borderId="12" xfId="0" applyFont="1" applyBorder="1" applyAlignment="1">
      <alignment horizontal="left" vertical="center"/>
    </xf>
    <xf numFmtId="0" fontId="10" fillId="0" borderId="13" xfId="0" applyFont="1" applyBorder="1" applyAlignment="1">
      <alignment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/>
    </xf>
    <xf numFmtId="3" fontId="4" fillId="7" borderId="15" xfId="0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3" fontId="2" fillId="3" borderId="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horizontal="left"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8" fillId="0" borderId="1" xfId="0" applyFont="1" applyBorder="1" applyAlignment="1">
      <alignment horizontal="left" vertical="center" wrapText="1"/>
    </xf>
    <xf numFmtId="0" fontId="18" fillId="6" borderId="8" xfId="0" applyFont="1" applyFill="1" applyBorder="1" applyAlignment="1">
      <alignment horizontal="left" vertical="center"/>
    </xf>
    <xf numFmtId="0" fontId="17" fillId="0" borderId="1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/>
    </xf>
    <xf numFmtId="0" fontId="4" fillId="0" borderId="3" xfId="0" applyFont="1" applyBorder="1" applyAlignment="1">
      <alignment horizontal="right" vertical="center"/>
    </xf>
    <xf numFmtId="3" fontId="5" fillId="4" borderId="24" xfId="0" applyNumberFormat="1" applyFont="1" applyFill="1" applyBorder="1" applyAlignment="1">
      <alignment horizontal="center" vertical="center"/>
    </xf>
    <xf numFmtId="3" fontId="7" fillId="4" borderId="30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 applyProtection="1">
      <alignment horizontal="center" vertical="center" wrapText="1"/>
      <protection locked="0"/>
    </xf>
    <xf numFmtId="0" fontId="7" fillId="4" borderId="29" xfId="0" applyFont="1" applyFill="1" applyBorder="1" applyAlignment="1">
      <alignment horizontal="right" vertical="center"/>
    </xf>
    <xf numFmtId="1" fontId="2" fillId="2" borderId="1" xfId="0" applyNumberFormat="1" applyFont="1" applyFill="1" applyBorder="1" applyAlignment="1" applyProtection="1">
      <alignment horizontal="center" vertical="center"/>
      <protection locked="0"/>
    </xf>
    <xf numFmtId="3" fontId="2" fillId="0" borderId="33" xfId="0" applyNumberFormat="1" applyFont="1" applyBorder="1" applyAlignment="1">
      <alignment horizontal="center" vertical="center"/>
    </xf>
    <xf numFmtId="3" fontId="6" fillId="0" borderId="34" xfId="0" applyNumberFormat="1" applyFont="1" applyBorder="1" applyAlignment="1">
      <alignment horizontal="center" vertical="center" wrapText="1"/>
    </xf>
    <xf numFmtId="1" fontId="10" fillId="0" borderId="35" xfId="0" applyNumberFormat="1" applyFont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>
      <alignment horizontal="center" vertical="center"/>
    </xf>
    <xf numFmtId="0" fontId="10" fillId="2" borderId="19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3" fontId="9" fillId="6" borderId="14" xfId="0" applyNumberFormat="1" applyFont="1" applyFill="1" applyBorder="1" applyAlignment="1">
      <alignment horizontal="center" vertical="center"/>
    </xf>
    <xf numFmtId="3" fontId="2" fillId="0" borderId="12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" fillId="5" borderId="0" xfId="0" applyFont="1" applyFill="1"/>
    <xf numFmtId="0" fontId="1" fillId="6" borderId="4" xfId="0" applyFont="1" applyFill="1" applyBorder="1" applyAlignment="1">
      <alignment horizontal="center" vertical="center" wrapText="1"/>
    </xf>
    <xf numFmtId="3" fontId="11" fillId="6" borderId="8" xfId="0" applyNumberFormat="1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left" vertical="center"/>
    </xf>
    <xf numFmtId="3" fontId="4" fillId="6" borderId="23" xfId="0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3" fontId="11" fillId="6" borderId="8" xfId="0" applyNumberFormat="1" applyFont="1" applyFill="1" applyBorder="1" applyAlignment="1">
      <alignment horizontal="center" vertical="center"/>
    </xf>
    <xf numFmtId="3" fontId="2" fillId="6" borderId="8" xfId="0" applyNumberFormat="1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right" vertical="center"/>
    </xf>
    <xf numFmtId="3" fontId="4" fillId="4" borderId="30" xfId="0" applyNumberFormat="1" applyFont="1" applyFill="1" applyBorder="1" applyAlignment="1">
      <alignment horizontal="center" vertical="center"/>
    </xf>
    <xf numFmtId="0" fontId="21" fillId="0" borderId="14" xfId="0" applyFont="1" applyBorder="1" applyAlignment="1">
      <alignment horizontal="right" vertical="center"/>
    </xf>
    <xf numFmtId="0" fontId="18" fillId="0" borderId="32" xfId="0" applyFont="1" applyBorder="1" applyAlignment="1">
      <alignment horizontal="left"/>
    </xf>
    <xf numFmtId="0" fontId="18" fillId="0" borderId="20" xfId="0" applyFont="1" applyBorder="1" applyAlignment="1">
      <alignment horizontal="left"/>
    </xf>
    <xf numFmtId="0" fontId="18" fillId="0" borderId="26" xfId="0" applyFont="1" applyBorder="1" applyAlignment="1">
      <alignment horizontal="left" vertical="center" wrapText="1"/>
    </xf>
    <xf numFmtId="0" fontId="18" fillId="0" borderId="21" xfId="0" applyFont="1" applyBorder="1" applyAlignment="1">
      <alignment horizontal="left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8" fillId="5" borderId="23" xfId="0" applyFont="1" applyFill="1" applyBorder="1" applyAlignment="1">
      <alignment horizontal="center" vertical="center"/>
    </xf>
    <xf numFmtId="0" fontId="10" fillId="3" borderId="18" xfId="0" applyFont="1" applyFill="1" applyBorder="1" applyAlignment="1" applyProtection="1">
      <alignment horizontal="left" vertical="center" wrapText="1"/>
      <protection locked="0"/>
    </xf>
    <xf numFmtId="0" fontId="10" fillId="3" borderId="26" xfId="0" applyFont="1" applyFill="1" applyBorder="1" applyAlignment="1" applyProtection="1">
      <alignment horizontal="left" vertical="center" wrapText="1"/>
      <protection locked="0"/>
    </xf>
    <xf numFmtId="0" fontId="2" fillId="3" borderId="26" xfId="0" applyFont="1" applyFill="1" applyBorder="1" applyAlignment="1" applyProtection="1">
      <alignment horizontal="center" vertical="center" wrapText="1"/>
      <protection locked="0"/>
    </xf>
    <xf numFmtId="0" fontId="2" fillId="3" borderId="21" xfId="0" applyFont="1" applyFill="1" applyBorder="1" applyAlignment="1" applyProtection="1">
      <alignment horizontal="center" vertical="center" wrapText="1"/>
      <protection locked="0"/>
    </xf>
    <xf numFmtId="0" fontId="10" fillId="2" borderId="19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9" fillId="0" borderId="26" xfId="0" applyFont="1" applyBorder="1" applyAlignment="1">
      <alignment horizontal="left" vertical="center" wrapText="1"/>
    </xf>
    <xf numFmtId="0" fontId="19" fillId="0" borderId="21" xfId="0" applyFont="1" applyBorder="1" applyAlignment="1">
      <alignment horizontal="left" vertical="center" wrapText="1"/>
    </xf>
    <xf numFmtId="0" fontId="18" fillId="0" borderId="28" xfId="0" applyFont="1" applyBorder="1" applyAlignment="1">
      <alignment horizontal="left" vertical="center"/>
    </xf>
    <xf numFmtId="0" fontId="18" fillId="0" borderId="20" xfId="0" applyFont="1" applyBorder="1" applyAlignment="1">
      <alignment horizontal="left" vertical="center"/>
    </xf>
    <xf numFmtId="0" fontId="8" fillId="5" borderId="38" xfId="0" applyFont="1" applyFill="1" applyBorder="1" applyAlignment="1">
      <alignment horizontal="center" vertical="center"/>
    </xf>
    <xf numFmtId="0" fontId="8" fillId="5" borderId="37" xfId="0" applyFont="1" applyFill="1" applyBorder="1" applyAlignment="1">
      <alignment horizontal="center" vertical="center"/>
    </xf>
    <xf numFmtId="0" fontId="8" fillId="5" borderId="39" xfId="0" applyFont="1" applyFill="1" applyBorder="1" applyAlignment="1">
      <alignment horizontal="center" vertical="center"/>
    </xf>
    <xf numFmtId="0" fontId="10" fillId="3" borderId="21" xfId="0" applyFont="1" applyFill="1" applyBorder="1" applyAlignment="1" applyProtection="1">
      <alignment horizontal="left" vertical="center" wrapText="1"/>
      <protection locked="0"/>
    </xf>
    <xf numFmtId="0" fontId="4" fillId="7" borderId="36" xfId="0" applyFont="1" applyFill="1" applyBorder="1" applyAlignment="1">
      <alignment horizontal="center" vertical="center"/>
    </xf>
    <xf numFmtId="0" fontId="4" fillId="7" borderId="37" xfId="0" applyFont="1" applyFill="1" applyBorder="1" applyAlignment="1">
      <alignment horizontal="center" vertical="center"/>
    </xf>
    <xf numFmtId="0" fontId="17" fillId="0" borderId="31" xfId="0" applyFont="1" applyBorder="1" applyAlignment="1"/>
    <xf numFmtId="0" fontId="17" fillId="0" borderId="27" xfId="0" applyFont="1" applyBorder="1" applyAlignment="1"/>
    <xf numFmtId="0" fontId="18" fillId="0" borderId="32" xfId="0" applyFont="1" applyBorder="1" applyAlignment="1"/>
    <xf numFmtId="0" fontId="18" fillId="0" borderId="20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37868-01CB-415E-991A-C18A3DC021C2}">
  <sheetPr>
    <tabColor rgb="FFFFC000"/>
    <pageSetUpPr fitToPage="1"/>
  </sheetPr>
  <dimension ref="A1:BU82"/>
  <sheetViews>
    <sheetView topLeftCell="A69" zoomScale="85" zoomScaleNormal="85" workbookViewId="0">
      <selection activeCell="E51" sqref="E51"/>
    </sheetView>
  </sheetViews>
  <sheetFormatPr defaultColWidth="8.7109375" defaultRowHeight="14.45"/>
  <cols>
    <col min="1" max="1" width="62.28515625" style="53" customWidth="1"/>
    <col min="2" max="2" width="64.42578125" style="53" customWidth="1"/>
    <col min="3" max="3" width="12.42578125" style="51" customWidth="1"/>
    <col min="4" max="4" width="10.7109375" style="52" customWidth="1"/>
    <col min="5" max="5" width="12.42578125" style="51" customWidth="1"/>
    <col min="6" max="6" width="60.28515625" style="51" customWidth="1"/>
    <col min="7" max="7" width="20.28515625" style="65" customWidth="1"/>
    <col min="8" max="8" width="25.42578125" customWidth="1"/>
    <col min="9" max="16384" width="8.7109375" style="1"/>
  </cols>
  <sheetData>
    <row r="1" spans="1:73" s="4" customFormat="1" ht="41.65" customHeight="1">
      <c r="A1" s="124" t="s">
        <v>0</v>
      </c>
      <c r="B1" s="125"/>
      <c r="C1" s="125"/>
      <c r="D1" s="125"/>
      <c r="E1" s="125"/>
      <c r="F1" s="125"/>
      <c r="G1" s="126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</row>
    <row r="2" spans="1:73" ht="30" customHeight="1" thickBot="1">
      <c r="A2" s="127" t="s">
        <v>1</v>
      </c>
      <c r="B2" s="128"/>
      <c r="C2" s="129" t="s">
        <v>2</v>
      </c>
      <c r="D2" s="129"/>
      <c r="E2" s="129"/>
      <c r="F2" s="129"/>
      <c r="G2" s="130"/>
    </row>
    <row r="3" spans="1:73" ht="15" customHeight="1">
      <c r="A3" s="76" t="s">
        <v>3</v>
      </c>
      <c r="B3" s="77" t="s">
        <v>4</v>
      </c>
      <c r="C3" s="78" t="s">
        <v>5</v>
      </c>
      <c r="D3" s="78" t="s">
        <v>6</v>
      </c>
      <c r="E3" s="78" t="s">
        <v>7</v>
      </c>
      <c r="F3" s="79" t="s">
        <v>8</v>
      </c>
      <c r="G3" s="80" t="s">
        <v>9</v>
      </c>
    </row>
    <row r="4" spans="1:73" ht="35.450000000000003" customHeight="1">
      <c r="A4" s="82" t="s">
        <v>10</v>
      </c>
      <c r="B4" s="103"/>
      <c r="C4" s="104"/>
      <c r="D4" s="104"/>
      <c r="E4" s="83">
        <f>'HPTC Input Sheet'!B4</f>
        <v>0</v>
      </c>
      <c r="F4" s="144"/>
      <c r="G4" s="145"/>
    </row>
    <row r="5" spans="1:73" ht="29.1" customHeight="1">
      <c r="A5" s="82" t="s">
        <v>11</v>
      </c>
      <c r="B5" s="82" t="s">
        <v>12</v>
      </c>
      <c r="C5" s="82"/>
      <c r="D5" s="19"/>
      <c r="E5" s="83">
        <f>'HPTC Input Sheet'!B5</f>
        <v>0</v>
      </c>
      <c r="F5" s="144" t="s">
        <v>13</v>
      </c>
      <c r="G5" s="145"/>
    </row>
    <row r="6" spans="1:73" ht="15" customHeight="1">
      <c r="A6" s="81" t="s">
        <v>14</v>
      </c>
      <c r="B6" s="131" t="s">
        <v>15</v>
      </c>
      <c r="C6" s="132"/>
      <c r="D6" s="132"/>
      <c r="E6" s="83">
        <f>'HPTC Input Sheet'!B6</f>
        <v>0</v>
      </c>
      <c r="F6" s="144" t="s">
        <v>16</v>
      </c>
      <c r="G6" s="145"/>
    </row>
    <row r="7" spans="1:73" ht="15" customHeight="1">
      <c r="A7" s="9" t="s">
        <v>17</v>
      </c>
      <c r="B7" s="131"/>
      <c r="C7" s="132"/>
      <c r="D7" s="132"/>
      <c r="E7" s="83">
        <f>'HPTC Input Sheet'!B7</f>
        <v>0</v>
      </c>
      <c r="F7" s="146" t="s">
        <v>18</v>
      </c>
      <c r="G7" s="147"/>
    </row>
    <row r="8" spans="1:73" ht="15" customHeight="1">
      <c r="A8" s="9" t="s">
        <v>19</v>
      </c>
      <c r="B8" s="131"/>
      <c r="C8" s="132"/>
      <c r="D8" s="132"/>
      <c r="E8" s="83">
        <f>'HPTC Input Sheet'!B8</f>
        <v>0</v>
      </c>
      <c r="F8" s="146" t="s">
        <v>20</v>
      </c>
      <c r="G8" s="147"/>
    </row>
    <row r="9" spans="1:73" ht="15" customHeight="1">
      <c r="A9" s="9" t="s">
        <v>21</v>
      </c>
      <c r="B9" s="131"/>
      <c r="C9" s="132"/>
      <c r="D9" s="132"/>
      <c r="E9" s="83">
        <f>'HPTC Input Sheet'!B9</f>
        <v>0</v>
      </c>
      <c r="F9" s="120" t="s">
        <v>22</v>
      </c>
      <c r="G9" s="121"/>
    </row>
    <row r="10" spans="1:73" ht="15" customHeight="1">
      <c r="A10" s="9" t="s">
        <v>23</v>
      </c>
      <c r="B10" s="1"/>
      <c r="C10" s="132"/>
      <c r="D10" s="132"/>
      <c r="E10" s="83">
        <f>'HPTC Input Sheet'!B10</f>
        <v>0</v>
      </c>
      <c r="F10" s="144" t="s">
        <v>24</v>
      </c>
      <c r="G10" s="145"/>
      <c r="I10"/>
    </row>
    <row r="11" spans="1:73" ht="15" thickBot="1">
      <c r="A11" s="48" t="s">
        <v>25</v>
      </c>
      <c r="B11" s="102"/>
      <c r="C11" s="133"/>
      <c r="D11" s="133"/>
      <c r="E11" s="83">
        <f>'HPTC Input Sheet'!B11</f>
        <v>0</v>
      </c>
      <c r="F11" s="122" t="s">
        <v>26</v>
      </c>
      <c r="G11" s="123"/>
    </row>
    <row r="12" spans="1:73" s="51" customFormat="1" ht="15" customHeight="1">
      <c r="A12" s="21" t="s">
        <v>27</v>
      </c>
      <c r="B12" s="23" t="s">
        <v>28</v>
      </c>
      <c r="C12" s="57">
        <v>120</v>
      </c>
      <c r="D12" s="58"/>
      <c r="E12" s="22"/>
      <c r="F12" s="24"/>
      <c r="G12" s="67"/>
      <c r="H12"/>
    </row>
    <row r="13" spans="1:73" ht="31.5" customHeight="1">
      <c r="A13" s="9" t="s">
        <v>29</v>
      </c>
      <c r="B13" s="25" t="s">
        <v>30</v>
      </c>
      <c r="C13" s="6">
        <v>1600</v>
      </c>
      <c r="D13" s="19">
        <v>0.35</v>
      </c>
      <c r="E13" s="6"/>
      <c r="F13" s="43" t="s">
        <v>31</v>
      </c>
      <c r="G13" s="63">
        <f>IF(E6&gt;0,MAX(E6*C12*D13*1.2,1600),0)</f>
        <v>0</v>
      </c>
    </row>
    <row r="14" spans="1:73" ht="15" customHeight="1">
      <c r="A14" s="9" t="s">
        <v>32</v>
      </c>
      <c r="B14" s="26" t="s">
        <v>33</v>
      </c>
      <c r="C14" s="6">
        <v>1740</v>
      </c>
      <c r="D14" s="19">
        <v>0.23</v>
      </c>
      <c r="E14" s="6"/>
      <c r="F14" s="43" t="s">
        <v>31</v>
      </c>
      <c r="G14" s="63">
        <f>IF(E6&gt;0,MAX((E6*C12*D14*1.2),C14),0)</f>
        <v>0</v>
      </c>
    </row>
    <row r="15" spans="1:73" ht="15" customHeight="1">
      <c r="A15" s="9" t="s">
        <v>34</v>
      </c>
      <c r="B15" s="26" t="s">
        <v>33</v>
      </c>
      <c r="C15" s="6">
        <v>1740</v>
      </c>
      <c r="D15" s="19">
        <v>0.42</v>
      </c>
      <c r="E15" s="6"/>
      <c r="F15" s="43" t="s">
        <v>31</v>
      </c>
      <c r="G15" s="63">
        <f>IF(E6&gt;0,MAX((E6*C12*D15*1.2),C15),0)</f>
        <v>0</v>
      </c>
    </row>
    <row r="16" spans="1:73" ht="15" customHeight="1">
      <c r="A16" s="9" t="s">
        <v>35</v>
      </c>
      <c r="B16" s="26" t="s">
        <v>36</v>
      </c>
      <c r="C16" s="6">
        <v>120</v>
      </c>
      <c r="D16" s="19">
        <f>ROUNDUP((E17*0.25),0)</f>
        <v>0</v>
      </c>
      <c r="E16" s="6">
        <f>E17/4</f>
        <v>0</v>
      </c>
      <c r="F16" s="43" t="s">
        <v>37</v>
      </c>
      <c r="G16" s="63">
        <f>C16*D16</f>
        <v>0</v>
      </c>
    </row>
    <row r="17" spans="1:7" ht="30.6" customHeight="1">
      <c r="A17" s="9" t="s">
        <v>38</v>
      </c>
      <c r="B17" s="26" t="s">
        <v>39</v>
      </c>
      <c r="C17" s="6">
        <v>36</v>
      </c>
      <c r="D17" s="49"/>
      <c r="E17" s="41">
        <f>'HPTC Input Sheet'!B17</f>
        <v>0</v>
      </c>
      <c r="F17" s="87" t="s">
        <v>40</v>
      </c>
      <c r="G17" s="63">
        <f>C17*E17</f>
        <v>0</v>
      </c>
    </row>
    <row r="18" spans="1:7" ht="20.100000000000001" customHeight="1">
      <c r="A18" s="75" t="s">
        <v>41</v>
      </c>
      <c r="B18" s="86" t="s">
        <v>42</v>
      </c>
      <c r="C18" s="99">
        <v>4</v>
      </c>
      <c r="D18" s="98">
        <f>E6</f>
        <v>0</v>
      </c>
      <c r="E18" s="100"/>
      <c r="F18" s="43" t="s">
        <v>37</v>
      </c>
      <c r="G18" s="70">
        <f>C18*D18</f>
        <v>0</v>
      </c>
    </row>
    <row r="19" spans="1:7" ht="28.5" thickBot="1">
      <c r="A19" s="12" t="s">
        <v>43</v>
      </c>
      <c r="B19" s="13" t="s">
        <v>44</v>
      </c>
      <c r="C19" s="18">
        <v>0.4</v>
      </c>
      <c r="D19" s="3"/>
      <c r="E19" s="18"/>
      <c r="F19" s="66" t="s">
        <v>45</v>
      </c>
      <c r="G19" s="70" cm="1">
        <f t="array" ref="G19">SUM(G16:G18*C19)</f>
        <v>0</v>
      </c>
    </row>
    <row r="20" spans="1:7" ht="15.6">
      <c r="A20" s="21" t="s">
        <v>46</v>
      </c>
      <c r="B20" s="23"/>
      <c r="C20" s="55">
        <v>120</v>
      </c>
      <c r="D20" s="31"/>
      <c r="E20" s="42"/>
      <c r="F20" s="88"/>
      <c r="G20" s="68"/>
    </row>
    <row r="21" spans="1:7">
      <c r="A21" s="5" t="s">
        <v>47</v>
      </c>
      <c r="B21" s="26" t="s">
        <v>48</v>
      </c>
      <c r="C21" s="30">
        <v>250</v>
      </c>
      <c r="D21" s="19"/>
      <c r="E21" s="30"/>
      <c r="F21" s="43" t="s">
        <v>31</v>
      </c>
      <c r="G21" s="63">
        <f>IF(E25&gt;0,(MAX(E25*C21,1200)),0)</f>
        <v>0</v>
      </c>
    </row>
    <row r="22" spans="1:7">
      <c r="A22" s="5" t="s">
        <v>49</v>
      </c>
      <c r="B22" s="25" t="s">
        <v>50</v>
      </c>
      <c r="C22" s="30">
        <v>150</v>
      </c>
      <c r="D22" s="19">
        <f>E25*2</f>
        <v>0</v>
      </c>
      <c r="E22" s="30"/>
      <c r="F22" s="43" t="s">
        <v>37</v>
      </c>
      <c r="G22" s="63">
        <f>C22*D22</f>
        <v>0</v>
      </c>
    </row>
    <row r="23" spans="1:7" ht="25.15" customHeight="1">
      <c r="A23" s="5" t="s">
        <v>51</v>
      </c>
      <c r="B23" s="26" t="s">
        <v>33</v>
      </c>
      <c r="C23" s="30">
        <v>200</v>
      </c>
      <c r="D23" s="19">
        <v>0.43</v>
      </c>
      <c r="E23" s="30"/>
      <c r="F23" s="43" t="s">
        <v>37</v>
      </c>
      <c r="G23" s="63">
        <f>IF(E25&gt;0,MAX((E7*C20*D23*1.2),C23),0)</f>
        <v>0</v>
      </c>
    </row>
    <row r="24" spans="1:7" ht="15" customHeight="1">
      <c r="A24" s="5" t="s">
        <v>52</v>
      </c>
      <c r="B24" s="26" t="s">
        <v>53</v>
      </c>
      <c r="C24" s="30">
        <v>150</v>
      </c>
      <c r="D24" s="19"/>
      <c r="E24" s="59">
        <f>'HPTC Input Sheet'!B24</f>
        <v>0</v>
      </c>
      <c r="F24" s="60" t="s">
        <v>54</v>
      </c>
      <c r="G24" s="63">
        <f>C24*E24</f>
        <v>0</v>
      </c>
    </row>
    <row r="25" spans="1:7" ht="60" customHeight="1">
      <c r="A25" s="5" t="s">
        <v>55</v>
      </c>
      <c r="B25" s="26" t="s">
        <v>39</v>
      </c>
      <c r="C25" s="30">
        <v>36</v>
      </c>
      <c r="D25" s="19"/>
      <c r="E25" s="59">
        <f>'HPTC Input Sheet'!B25</f>
        <v>0</v>
      </c>
      <c r="F25" s="89" t="s">
        <v>56</v>
      </c>
      <c r="G25" s="63">
        <f>C25*E25</f>
        <v>0</v>
      </c>
    </row>
    <row r="26" spans="1:7" ht="20.100000000000001" customHeight="1">
      <c r="A26" s="5" t="s">
        <v>41</v>
      </c>
      <c r="B26" s="26" t="s">
        <v>42</v>
      </c>
      <c r="C26" s="30">
        <v>4</v>
      </c>
      <c r="D26" s="30">
        <f>E7</f>
        <v>0</v>
      </c>
      <c r="E26" s="30"/>
      <c r="F26" s="43" t="s">
        <v>37</v>
      </c>
      <c r="G26" s="63">
        <f>IF(G21=0,0,C26*D26)</f>
        <v>0</v>
      </c>
    </row>
    <row r="27" spans="1:7" ht="28.5" thickBot="1">
      <c r="A27" s="12" t="s">
        <v>43</v>
      </c>
      <c r="B27" s="13" t="s">
        <v>57</v>
      </c>
      <c r="C27" s="18">
        <v>0.4</v>
      </c>
      <c r="D27" s="3"/>
      <c r="E27" s="18"/>
      <c r="F27" s="66" t="s">
        <v>45</v>
      </c>
      <c r="G27" s="70" cm="1">
        <f t="array" ref="G27">SUM(G22:G26*C27)</f>
        <v>0</v>
      </c>
    </row>
    <row r="28" spans="1:7" ht="15.6">
      <c r="A28" s="21" t="s">
        <v>58</v>
      </c>
      <c r="B28" s="28"/>
      <c r="C28" s="31"/>
      <c r="D28" s="37"/>
      <c r="E28" s="31"/>
      <c r="F28" s="88"/>
      <c r="G28" s="68"/>
    </row>
    <row r="29" spans="1:7">
      <c r="A29" s="5" t="s">
        <v>59</v>
      </c>
      <c r="B29" s="25" t="s">
        <v>60</v>
      </c>
      <c r="C29" s="30">
        <v>800</v>
      </c>
      <c r="D29" s="19"/>
      <c r="E29" s="59">
        <f>'HPTC Input Sheet'!B29</f>
        <v>0</v>
      </c>
      <c r="F29" s="43" t="s">
        <v>61</v>
      </c>
      <c r="G29" s="63">
        <f>IF(E29=0,0,IF(AND(E29=1,E31&gt;=1),800,IF(AND(E29=1,E31=0),"Dietician Required",0)))</f>
        <v>0</v>
      </c>
    </row>
    <row r="30" spans="1:7" ht="18" customHeight="1">
      <c r="A30" s="5" t="s">
        <v>62</v>
      </c>
      <c r="B30" s="26" t="s">
        <v>63</v>
      </c>
      <c r="C30" s="30">
        <v>20</v>
      </c>
      <c r="D30" s="19">
        <f>E31</f>
        <v>0</v>
      </c>
      <c r="E30" s="30"/>
      <c r="F30" s="43" t="s">
        <v>37</v>
      </c>
      <c r="G30" s="63">
        <f>C30*D30</f>
        <v>0</v>
      </c>
    </row>
    <row r="31" spans="1:7" ht="20.100000000000001" customHeight="1">
      <c r="A31" s="5" t="s">
        <v>38</v>
      </c>
      <c r="B31" s="26" t="s">
        <v>64</v>
      </c>
      <c r="C31" s="30">
        <v>36</v>
      </c>
      <c r="D31" s="19"/>
      <c r="E31" s="39">
        <f>'HPTC Input Sheet'!B31</f>
        <v>0</v>
      </c>
      <c r="F31" s="89" t="s">
        <v>65</v>
      </c>
      <c r="G31" s="63">
        <f>C31*E31</f>
        <v>0</v>
      </c>
    </row>
    <row r="32" spans="1:7" ht="28.5" thickBot="1">
      <c r="A32" s="12" t="s">
        <v>43</v>
      </c>
      <c r="B32" s="13" t="s">
        <v>66</v>
      </c>
      <c r="C32" s="18">
        <v>0.4</v>
      </c>
      <c r="D32" s="3"/>
      <c r="E32" s="18"/>
      <c r="F32" s="66" t="s">
        <v>45</v>
      </c>
      <c r="G32" s="70">
        <f>SUM(G30:G31)*C32</f>
        <v>0</v>
      </c>
    </row>
    <row r="33" spans="1:7" ht="15.6">
      <c r="A33" s="21" t="s">
        <v>67</v>
      </c>
      <c r="B33" s="28"/>
      <c r="C33" s="31"/>
      <c r="D33" s="37"/>
      <c r="E33" s="31"/>
      <c r="F33" s="88"/>
      <c r="G33" s="68"/>
    </row>
    <row r="34" spans="1:7" ht="35.1" customHeight="1">
      <c r="A34" s="5" t="s">
        <v>68</v>
      </c>
      <c r="B34" s="26" t="s">
        <v>69</v>
      </c>
      <c r="C34" s="30">
        <v>420</v>
      </c>
      <c r="D34" s="101">
        <f>E35</f>
        <v>0</v>
      </c>
      <c r="E34" s="30"/>
      <c r="F34" s="43" t="s">
        <v>31</v>
      </c>
      <c r="G34" s="63">
        <f>D34*C34</f>
        <v>0</v>
      </c>
    </row>
    <row r="35" spans="1:7" ht="34.15" customHeight="1">
      <c r="A35" s="44" t="s">
        <v>38</v>
      </c>
      <c r="B35" s="26" t="s">
        <v>70</v>
      </c>
      <c r="C35" s="30">
        <v>36</v>
      </c>
      <c r="E35" s="39">
        <f>'HPTC Input Sheet'!B35</f>
        <v>0</v>
      </c>
      <c r="F35" s="89" t="s">
        <v>71</v>
      </c>
      <c r="G35" s="63">
        <f>C35*E35</f>
        <v>0</v>
      </c>
    </row>
    <row r="36" spans="1:7" ht="20.100000000000001" customHeight="1">
      <c r="A36" s="5" t="s">
        <v>41</v>
      </c>
      <c r="B36" s="26" t="s">
        <v>72</v>
      </c>
      <c r="C36" s="30">
        <v>0.05</v>
      </c>
      <c r="D36" s="19"/>
      <c r="E36" s="30"/>
      <c r="F36" s="43" t="s">
        <v>73</v>
      </c>
      <c r="G36" s="63">
        <f>G34*C36</f>
        <v>0</v>
      </c>
    </row>
    <row r="37" spans="1:7" ht="28.5" thickBot="1">
      <c r="A37" s="12" t="s">
        <v>43</v>
      </c>
      <c r="B37" s="13" t="s">
        <v>66</v>
      </c>
      <c r="C37" s="18">
        <v>0.4</v>
      </c>
      <c r="D37" s="3"/>
      <c r="E37" s="18"/>
      <c r="F37" s="66" t="s">
        <v>45</v>
      </c>
      <c r="G37" s="70">
        <f>SUM(G35:G36)*C37</f>
        <v>0</v>
      </c>
    </row>
    <row r="38" spans="1:7" ht="15.6">
      <c r="A38" s="21" t="s">
        <v>74</v>
      </c>
      <c r="B38" s="28"/>
      <c r="C38" s="31"/>
      <c r="D38" s="37"/>
      <c r="E38" s="31"/>
      <c r="F38" s="88"/>
      <c r="G38" s="68"/>
    </row>
    <row r="39" spans="1:7" ht="48.6" customHeight="1">
      <c r="A39" s="10" t="s">
        <v>38</v>
      </c>
      <c r="B39" s="27" t="s">
        <v>70</v>
      </c>
      <c r="C39" s="32">
        <v>100</v>
      </c>
      <c r="D39" s="19"/>
      <c r="E39" s="38">
        <f>'HPTC Input Sheet'!B39</f>
        <v>0</v>
      </c>
      <c r="F39" s="90" t="s">
        <v>75</v>
      </c>
      <c r="G39" s="69">
        <f>C39*E39</f>
        <v>0</v>
      </c>
    </row>
    <row r="40" spans="1:7" ht="32.1" customHeight="1">
      <c r="A40" s="10" t="s">
        <v>76</v>
      </c>
      <c r="B40" s="29" t="s">
        <v>77</v>
      </c>
      <c r="C40" s="32">
        <v>200</v>
      </c>
      <c r="D40" s="19"/>
      <c r="E40" s="61">
        <f>IF(E10&gt;20,1,0)</f>
        <v>0</v>
      </c>
      <c r="F40" s="43" t="s">
        <v>37</v>
      </c>
      <c r="G40" s="69">
        <f>C40*E40</f>
        <v>0</v>
      </c>
    </row>
    <row r="41" spans="1:7" ht="34.5" customHeight="1">
      <c r="A41" s="5" t="s">
        <v>78</v>
      </c>
      <c r="B41" s="25" t="s">
        <v>79</v>
      </c>
      <c r="C41" s="33">
        <v>100</v>
      </c>
      <c r="D41" s="19"/>
      <c r="E41" s="40">
        <f>IF(E10&gt;0,ROUNDDOWN(E10/6,0),0)</f>
        <v>0</v>
      </c>
      <c r="F41" s="43" t="s">
        <v>37</v>
      </c>
      <c r="G41" s="63">
        <f>IF(E40=1,(C41*E41)-200,(C41*E41))</f>
        <v>0</v>
      </c>
    </row>
    <row r="42" spans="1:7" ht="28.5" thickBot="1">
      <c r="A42" s="12" t="s">
        <v>43</v>
      </c>
      <c r="B42" s="13" t="s">
        <v>66</v>
      </c>
      <c r="C42" s="18">
        <v>0.4</v>
      </c>
      <c r="D42" s="3"/>
      <c r="E42" s="19"/>
      <c r="F42" s="66" t="s">
        <v>45</v>
      </c>
      <c r="G42" s="70">
        <f>SUM(G39:G41)*C42</f>
        <v>0</v>
      </c>
    </row>
    <row r="43" spans="1:7" ht="15.6">
      <c r="A43" s="21" t="s">
        <v>80</v>
      </c>
      <c r="B43" s="23" t="s">
        <v>81</v>
      </c>
      <c r="C43" s="31"/>
      <c r="D43" s="37"/>
      <c r="E43" s="106"/>
      <c r="F43" s="88"/>
      <c r="G43" s="68"/>
    </row>
    <row r="44" spans="1:7">
      <c r="A44" s="5" t="s">
        <v>82</v>
      </c>
      <c r="B44" s="26" t="s">
        <v>83</v>
      </c>
      <c r="C44" s="33">
        <v>320</v>
      </c>
      <c r="D44" s="19">
        <v>40</v>
      </c>
      <c r="E44" s="39">
        <f>'HPTC Input Sheet'!B44</f>
        <v>0</v>
      </c>
      <c r="F44" s="87" t="s">
        <v>84</v>
      </c>
      <c r="G44" s="63">
        <f>E44*D44</f>
        <v>0</v>
      </c>
    </row>
    <row r="45" spans="1:7" ht="19.149999999999999" customHeight="1">
      <c r="A45" s="5" t="s">
        <v>85</v>
      </c>
      <c r="B45" s="26" t="s">
        <v>86</v>
      </c>
      <c r="C45" s="33">
        <v>180</v>
      </c>
      <c r="D45" s="19">
        <v>60</v>
      </c>
      <c r="E45" s="39">
        <f>'HPTC Input Sheet'!B45</f>
        <v>0</v>
      </c>
      <c r="F45" s="87" t="s">
        <v>87</v>
      </c>
      <c r="G45" s="63">
        <f>D45*E45</f>
        <v>0</v>
      </c>
    </row>
    <row r="46" spans="1:7" ht="19.149999999999999" customHeight="1">
      <c r="A46" s="25" t="s">
        <v>88</v>
      </c>
      <c r="B46" s="26" t="s">
        <v>89</v>
      </c>
      <c r="C46" s="33">
        <v>180</v>
      </c>
      <c r="D46" s="19">
        <v>15</v>
      </c>
      <c r="E46" s="39">
        <f>'HPTC Input Sheet'!B46</f>
        <v>0</v>
      </c>
      <c r="F46" s="87" t="s">
        <v>90</v>
      </c>
      <c r="G46" s="63">
        <f>D46*E46</f>
        <v>0</v>
      </c>
    </row>
    <row r="47" spans="1:7" ht="28.5" thickBot="1">
      <c r="A47" s="12" t="s">
        <v>43</v>
      </c>
      <c r="B47" s="13" t="s">
        <v>66</v>
      </c>
      <c r="C47" s="18">
        <v>0.4</v>
      </c>
      <c r="D47" s="3"/>
      <c r="E47" s="18"/>
      <c r="F47" s="66" t="s">
        <v>91</v>
      </c>
      <c r="G47" s="70">
        <v>0</v>
      </c>
    </row>
    <row r="48" spans="1:7" ht="15.6">
      <c r="A48" s="21" t="s">
        <v>92</v>
      </c>
      <c r="B48" s="23" t="s">
        <v>93</v>
      </c>
      <c r="C48" s="31"/>
      <c r="D48" s="37"/>
      <c r="E48" s="31"/>
      <c r="F48" s="88"/>
      <c r="G48" s="68"/>
    </row>
    <row r="49" spans="1:7" ht="27.95">
      <c r="A49" s="85" t="s">
        <v>94</v>
      </c>
      <c r="B49" s="25" t="s">
        <v>95</v>
      </c>
      <c r="C49" s="7">
        <v>100</v>
      </c>
      <c r="D49" s="19"/>
      <c r="E49" s="50">
        <f>IF(E4&gt;=100,1,0)</f>
        <v>0</v>
      </c>
      <c r="F49" s="43" t="s">
        <v>31</v>
      </c>
      <c r="G49" s="63">
        <f>C49*E49</f>
        <v>0</v>
      </c>
    </row>
    <row r="50" spans="1:7" ht="31.15" customHeight="1">
      <c r="A50" s="85" t="s">
        <v>96</v>
      </c>
      <c r="B50" s="25" t="s">
        <v>97</v>
      </c>
      <c r="C50" s="7">
        <v>200</v>
      </c>
      <c r="D50" s="19"/>
      <c r="E50" s="50">
        <f>MIN(E4/35,4)</f>
        <v>0</v>
      </c>
      <c r="F50" s="43" t="s">
        <v>31</v>
      </c>
      <c r="G50" s="63">
        <f>E50*C50</f>
        <v>0</v>
      </c>
    </row>
    <row r="51" spans="1:7" ht="15" customHeight="1">
      <c r="A51" s="85" t="s">
        <v>98</v>
      </c>
      <c r="B51" s="26" t="s">
        <v>99</v>
      </c>
      <c r="C51" s="7">
        <v>150</v>
      </c>
      <c r="D51" s="19"/>
      <c r="E51" s="50">
        <f>E11/35</f>
        <v>0</v>
      </c>
      <c r="F51" s="43" t="s">
        <v>31</v>
      </c>
      <c r="G51" s="63">
        <f>E51*C51</f>
        <v>0</v>
      </c>
    </row>
    <row r="52" spans="1:7" ht="15" customHeight="1">
      <c r="A52" s="26" t="s">
        <v>100</v>
      </c>
      <c r="B52" s="26" t="s">
        <v>99</v>
      </c>
      <c r="C52" s="7">
        <v>150</v>
      </c>
      <c r="D52" s="19"/>
      <c r="E52" s="40">
        <f>E11/35</f>
        <v>0</v>
      </c>
      <c r="F52" s="43" t="s">
        <v>31</v>
      </c>
      <c r="G52" s="63">
        <f t="shared" ref="G51:G52" si="0">E52*C52</f>
        <v>0</v>
      </c>
    </row>
    <row r="53" spans="1:7" ht="31.15" customHeight="1" thickBot="1">
      <c r="A53" s="12" t="s">
        <v>43</v>
      </c>
      <c r="B53" s="13" t="s">
        <v>66</v>
      </c>
      <c r="C53" s="18">
        <v>0.4</v>
      </c>
      <c r="D53" s="3"/>
      <c r="E53" s="18"/>
      <c r="F53" s="66" t="s">
        <v>91</v>
      </c>
      <c r="G53" s="70">
        <v>0</v>
      </c>
    </row>
    <row r="54" spans="1:7" ht="15.6">
      <c r="A54" s="21" t="s">
        <v>101</v>
      </c>
      <c r="B54" s="23" t="s">
        <v>81</v>
      </c>
      <c r="C54" s="31"/>
      <c r="D54" s="37"/>
      <c r="E54" s="31"/>
      <c r="F54" s="88"/>
      <c r="G54" s="68"/>
    </row>
    <row r="55" spans="1:7" ht="27.95">
      <c r="A55" s="9" t="s">
        <v>102</v>
      </c>
      <c r="B55" s="56" t="s">
        <v>103</v>
      </c>
      <c r="C55" s="34">
        <v>40</v>
      </c>
      <c r="D55" s="19"/>
      <c r="E55" s="39">
        <f>'HPTC Input Sheet'!B53</f>
        <v>0</v>
      </c>
      <c r="F55" s="60" t="s">
        <v>104</v>
      </c>
      <c r="G55" s="70">
        <f t="shared" ref="G55:G61" si="1">C55*E55</f>
        <v>0</v>
      </c>
    </row>
    <row r="56" spans="1:7" ht="27.95">
      <c r="A56" s="9" t="s">
        <v>105</v>
      </c>
      <c r="B56" s="56" t="s">
        <v>106</v>
      </c>
      <c r="C56" s="33">
        <v>140</v>
      </c>
      <c r="D56" s="19"/>
      <c r="E56" s="39">
        <f>'HPTC Input Sheet'!B54</f>
        <v>0</v>
      </c>
      <c r="F56" s="84" t="s">
        <v>107</v>
      </c>
      <c r="G56" s="63">
        <f t="shared" si="1"/>
        <v>0</v>
      </c>
    </row>
    <row r="57" spans="1:7" ht="27.95">
      <c r="A57" s="9" t="s">
        <v>108</v>
      </c>
      <c r="B57" s="25" t="s">
        <v>109</v>
      </c>
      <c r="C57" s="33">
        <v>180</v>
      </c>
      <c r="D57" s="19"/>
      <c r="E57" s="39">
        <f>'HPTC Input Sheet'!B55</f>
        <v>0</v>
      </c>
      <c r="F57" s="84" t="s">
        <v>110</v>
      </c>
      <c r="G57" s="63">
        <f t="shared" si="1"/>
        <v>0</v>
      </c>
    </row>
    <row r="58" spans="1:7" ht="27.95">
      <c r="A58" s="5" t="s">
        <v>111</v>
      </c>
      <c r="B58" s="25" t="s">
        <v>112</v>
      </c>
      <c r="C58" s="33">
        <v>11000</v>
      </c>
      <c r="D58" s="19"/>
      <c r="E58" s="39">
        <f>'HPTC Input Sheet'!B56</f>
        <v>0</v>
      </c>
      <c r="F58" s="84" t="s">
        <v>113</v>
      </c>
      <c r="G58" s="63">
        <f t="shared" si="1"/>
        <v>0</v>
      </c>
    </row>
    <row r="59" spans="1:7" ht="27.95">
      <c r="A59" s="5" t="s">
        <v>114</v>
      </c>
      <c r="B59" s="25" t="s">
        <v>115</v>
      </c>
      <c r="C59" s="33">
        <v>13500</v>
      </c>
      <c r="D59" s="19"/>
      <c r="E59" s="39">
        <f>'HPTC Input Sheet'!B57</f>
        <v>0</v>
      </c>
      <c r="F59" s="84" t="s">
        <v>113</v>
      </c>
      <c r="G59" s="63">
        <f t="shared" si="1"/>
        <v>0</v>
      </c>
    </row>
    <row r="60" spans="1:7" ht="27.95">
      <c r="A60" s="5" t="s">
        <v>116</v>
      </c>
      <c r="B60" s="25" t="s">
        <v>117</v>
      </c>
      <c r="C60" s="33">
        <v>16000</v>
      </c>
      <c r="D60" s="19"/>
      <c r="E60" s="39">
        <f>'HPTC Input Sheet'!B58</f>
        <v>0</v>
      </c>
      <c r="F60" s="84" t="s">
        <v>113</v>
      </c>
      <c r="G60" s="63">
        <f t="shared" si="1"/>
        <v>0</v>
      </c>
    </row>
    <row r="61" spans="1:7" ht="28.5" thickBot="1">
      <c r="A61" s="8" t="s">
        <v>118</v>
      </c>
      <c r="B61" s="29" t="s">
        <v>119</v>
      </c>
      <c r="C61" s="32">
        <v>120</v>
      </c>
      <c r="D61" s="46"/>
      <c r="E61" s="49">
        <f>IF(OR(E58&gt;0,E59&gt;0,E60&gt;0),1,0)</f>
        <v>0</v>
      </c>
      <c r="F61" s="43" t="s">
        <v>31</v>
      </c>
      <c r="G61" s="69">
        <f t="shared" si="1"/>
        <v>0</v>
      </c>
    </row>
    <row r="62" spans="1:7" ht="15.6">
      <c r="A62" s="21" t="s">
        <v>120</v>
      </c>
      <c r="B62" s="28"/>
      <c r="C62" s="31"/>
      <c r="D62" s="45"/>
      <c r="E62" s="31"/>
      <c r="F62" s="88"/>
      <c r="G62" s="68"/>
    </row>
    <row r="63" spans="1:7" ht="18" customHeight="1">
      <c r="A63" s="5" t="s">
        <v>121</v>
      </c>
      <c r="B63" s="26" t="s">
        <v>122</v>
      </c>
      <c r="C63" s="35">
        <v>120</v>
      </c>
      <c r="D63" s="19">
        <v>1</v>
      </c>
      <c r="E63" s="35"/>
      <c r="F63" s="43" t="s">
        <v>73</v>
      </c>
      <c r="G63" s="63">
        <f>IF(E11&gt;20,C63,0)</f>
        <v>0</v>
      </c>
    </row>
    <row r="64" spans="1:7" ht="34.15" customHeight="1">
      <c r="A64" s="5" t="s">
        <v>123</v>
      </c>
      <c r="B64" s="25" t="s">
        <v>124</v>
      </c>
      <c r="C64" s="35">
        <v>100</v>
      </c>
      <c r="D64" s="19"/>
      <c r="E64" s="39">
        <f>'HPTC Input Sheet'!B62</f>
        <v>0</v>
      </c>
      <c r="F64" s="89" t="s">
        <v>125</v>
      </c>
      <c r="G64" s="63">
        <f>C64*E64</f>
        <v>0</v>
      </c>
    </row>
    <row r="65" spans="1:7" ht="37.15" customHeight="1">
      <c r="A65" s="5" t="s">
        <v>126</v>
      </c>
      <c r="B65" s="25" t="s">
        <v>124</v>
      </c>
      <c r="C65" s="35">
        <v>36</v>
      </c>
      <c r="D65" s="19"/>
      <c r="E65" s="39">
        <f>'HPTC Input Sheet'!B63</f>
        <v>0</v>
      </c>
      <c r="F65" s="89" t="s">
        <v>127</v>
      </c>
      <c r="G65" s="63">
        <f>E65*C65</f>
        <v>0</v>
      </c>
    </row>
    <row r="66" spans="1:7" ht="29.1" customHeight="1">
      <c r="A66" s="5" t="s">
        <v>128</v>
      </c>
      <c r="B66" s="25" t="s">
        <v>129</v>
      </c>
      <c r="C66" s="35">
        <v>20</v>
      </c>
      <c r="D66" s="19"/>
      <c r="E66" s="39">
        <f>'HPTC Input Sheet'!B64</f>
        <v>0</v>
      </c>
      <c r="F66" s="87" t="s">
        <v>130</v>
      </c>
      <c r="G66" s="63">
        <f>C66*E66</f>
        <v>0</v>
      </c>
    </row>
    <row r="67" spans="1:7" ht="73.5" customHeight="1">
      <c r="A67" s="5" t="s">
        <v>131</v>
      </c>
      <c r="B67" s="25" t="s">
        <v>132</v>
      </c>
      <c r="C67" s="35">
        <v>150</v>
      </c>
      <c r="D67" s="19"/>
      <c r="E67" s="95"/>
      <c r="F67" s="89" t="s">
        <v>133</v>
      </c>
      <c r="G67" s="63">
        <f>IF(D69&gt;10,150,0)</f>
        <v>0</v>
      </c>
    </row>
    <row r="68" spans="1:7" ht="20.100000000000001" customHeight="1">
      <c r="A68" s="5" t="s">
        <v>134</v>
      </c>
      <c r="B68" s="25" t="s">
        <v>135</v>
      </c>
      <c r="C68" s="35">
        <v>20</v>
      </c>
      <c r="D68" s="40">
        <v>1</v>
      </c>
      <c r="E68" s="36"/>
      <c r="F68" s="43" t="s">
        <v>37</v>
      </c>
      <c r="G68" s="63">
        <f>IF(E11&gt;10,C68,0)</f>
        <v>0</v>
      </c>
    </row>
    <row r="69" spans="1:7" ht="27.95">
      <c r="A69" s="5" t="s">
        <v>136</v>
      </c>
      <c r="B69" s="25" t="s">
        <v>137</v>
      </c>
      <c r="C69" s="33">
        <v>8</v>
      </c>
      <c r="D69" s="33">
        <f>E39+E35+E31+E25+E17+E24+E64+E65</f>
        <v>0</v>
      </c>
      <c r="E69" s="33"/>
      <c r="F69" s="43" t="s">
        <v>37</v>
      </c>
      <c r="G69" s="63">
        <f>C69*D69</f>
        <v>0</v>
      </c>
    </row>
    <row r="70" spans="1:7" ht="28.5" customHeight="1">
      <c r="A70" s="9" t="s">
        <v>138</v>
      </c>
      <c r="B70" s="25" t="s">
        <v>139</v>
      </c>
      <c r="C70" s="33">
        <v>2</v>
      </c>
      <c r="D70" s="33">
        <f>(E17+E25+E31)</f>
        <v>0</v>
      </c>
      <c r="E70" s="33"/>
      <c r="F70" s="43" t="s">
        <v>37</v>
      </c>
      <c r="G70" s="63">
        <f>D70*C70</f>
        <v>0</v>
      </c>
    </row>
    <row r="71" spans="1:7" ht="27.95">
      <c r="A71" s="9" t="s">
        <v>140</v>
      </c>
      <c r="B71" s="25" t="s">
        <v>141</v>
      </c>
      <c r="C71" s="33">
        <v>3</v>
      </c>
      <c r="D71" s="33">
        <f>D69</f>
        <v>0</v>
      </c>
      <c r="E71" s="33"/>
      <c r="F71" s="43" t="s">
        <v>37</v>
      </c>
      <c r="G71" s="63">
        <f>IF(D69&gt;0,MAX(D71*C71,50),0)</f>
        <v>0</v>
      </c>
    </row>
    <row r="72" spans="1:7" ht="17.649999999999999" customHeight="1">
      <c r="A72" s="5" t="s">
        <v>142</v>
      </c>
      <c r="B72" s="26" t="s">
        <v>143</v>
      </c>
      <c r="C72" s="35">
        <v>3</v>
      </c>
      <c r="D72" s="35">
        <f>E11</f>
        <v>0</v>
      </c>
      <c r="E72" s="35"/>
      <c r="F72" s="43" t="s">
        <v>37</v>
      </c>
      <c r="G72" s="71">
        <f>IF(E11&gt;10,MIN(MAX(3*D72,50),200),0)</f>
        <v>0</v>
      </c>
    </row>
    <row r="73" spans="1:7" ht="29.25" customHeight="1">
      <c r="A73" s="9" t="s">
        <v>144</v>
      </c>
      <c r="B73" s="25" t="s">
        <v>145</v>
      </c>
      <c r="C73" s="33">
        <f>180+(IF((SUM($E$6:$E$9))&gt;500,(((SUM($E$6:$E$9))-500)/500)*30,0))</f>
        <v>180</v>
      </c>
      <c r="D73" s="33">
        <f>MAX(E11/30,1)</f>
        <v>1</v>
      </c>
      <c r="E73" s="33"/>
      <c r="F73" s="43" t="s">
        <v>37</v>
      </c>
      <c r="G73" s="63">
        <f>IF(E11&gt;30,C73,0)</f>
        <v>0</v>
      </c>
    </row>
    <row r="74" spans="1:7" ht="20.65" customHeight="1">
      <c r="A74" s="5" t="s">
        <v>146</v>
      </c>
      <c r="B74" s="26" t="s">
        <v>147</v>
      </c>
      <c r="C74" s="33">
        <f>(SUM(G13:G15)+SUM(G21:G22)+G24)*0.12</f>
        <v>0</v>
      </c>
      <c r="D74" s="33"/>
      <c r="E74" s="33"/>
      <c r="F74" s="43" t="s">
        <v>31</v>
      </c>
      <c r="G74" s="63">
        <f>C74</f>
        <v>0</v>
      </c>
    </row>
    <row r="75" spans="1:7" ht="20.65" customHeight="1" thickBot="1">
      <c r="A75" s="11" t="s">
        <v>148</v>
      </c>
      <c r="B75" s="73" t="s">
        <v>149</v>
      </c>
      <c r="C75" s="47">
        <v>300</v>
      </c>
      <c r="D75" s="47"/>
      <c r="E75" s="47">
        <f>E17</f>
        <v>0</v>
      </c>
      <c r="F75" s="74" t="s">
        <v>31</v>
      </c>
      <c r="G75" s="62">
        <f>C75*E75</f>
        <v>0</v>
      </c>
    </row>
    <row r="76" spans="1:7" ht="27.95">
      <c r="A76" s="12" t="s">
        <v>43</v>
      </c>
      <c r="B76" s="13" t="s">
        <v>66</v>
      </c>
      <c r="C76" s="18">
        <v>0.4</v>
      </c>
      <c r="D76" s="3"/>
      <c r="E76" s="18"/>
      <c r="F76" s="66" t="s">
        <v>45</v>
      </c>
      <c r="G76" s="72">
        <f>SUM(G63:G73)*C76</f>
        <v>0</v>
      </c>
    </row>
    <row r="77" spans="1:7" ht="30.75" customHeight="1">
      <c r="A77" s="12" t="s">
        <v>150</v>
      </c>
      <c r="B77" s="13" t="s">
        <v>151</v>
      </c>
      <c r="C77" s="3"/>
      <c r="D77" s="3"/>
      <c r="E77" s="3"/>
      <c r="F77" s="66" t="s">
        <v>152</v>
      </c>
      <c r="G77" s="72">
        <f>SUM(G13:G75)</f>
        <v>0</v>
      </c>
    </row>
    <row r="78" spans="1:7" ht="28.5" thickBot="1">
      <c r="A78" s="14" t="s">
        <v>153</v>
      </c>
      <c r="B78" s="15" t="s">
        <v>154</v>
      </c>
      <c r="C78" s="19">
        <v>0.42</v>
      </c>
      <c r="D78" s="2"/>
      <c r="E78" s="19"/>
      <c r="F78" s="92" t="s">
        <v>153</v>
      </c>
      <c r="G78" s="93">
        <f>G77*0.45</f>
        <v>0</v>
      </c>
    </row>
    <row r="79" spans="1:7" ht="18.600000000000001" thickBot="1">
      <c r="A79" s="16"/>
      <c r="B79" s="17"/>
      <c r="C79" s="20"/>
      <c r="D79" s="20"/>
      <c r="E79" s="91"/>
      <c r="F79" s="96" t="s">
        <v>155</v>
      </c>
      <c r="G79" s="94">
        <f>SUM(G77:G78)</f>
        <v>0</v>
      </c>
    </row>
    <row r="82" spans="3:7">
      <c r="C82" s="54"/>
      <c r="E82" s="54"/>
      <c r="G82" s="64"/>
    </row>
  </sheetData>
  <sheetProtection selectLockedCells="1" selectUnlockedCells="1"/>
  <mergeCells count="14">
    <mergeCell ref="F9:G9"/>
    <mergeCell ref="F11:G11"/>
    <mergeCell ref="A1:G1"/>
    <mergeCell ref="A2:B2"/>
    <mergeCell ref="C2:G2"/>
    <mergeCell ref="F5:G5"/>
    <mergeCell ref="B6:B9"/>
    <mergeCell ref="C6:C11"/>
    <mergeCell ref="D6:D11"/>
    <mergeCell ref="F6:G6"/>
    <mergeCell ref="F7:G7"/>
    <mergeCell ref="F8:G8"/>
    <mergeCell ref="F10:G10"/>
    <mergeCell ref="F4:G4"/>
  </mergeCells>
  <pageMargins left="0.25" right="0.25" top="0.75" bottom="0.75" header="0.3" footer="0.3"/>
  <pageSetup scale="27" orientation="landscape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736EB-5F1E-4B63-96E0-70A21F96B529}">
  <sheetPr>
    <tabColor rgb="FF92D050"/>
    <pageSetUpPr fitToPage="1"/>
  </sheetPr>
  <dimension ref="A1:BR80"/>
  <sheetViews>
    <sheetView tabSelected="1" topLeftCell="A63" zoomScale="85" zoomScaleNormal="85" workbookViewId="0">
      <selection activeCell="B12" sqref="B12"/>
    </sheetView>
  </sheetViews>
  <sheetFormatPr defaultColWidth="8.7109375" defaultRowHeight="14.1"/>
  <cols>
    <col min="1" max="1" width="68" style="53" customWidth="1"/>
    <col min="2" max="2" width="12.42578125" style="51" customWidth="1"/>
    <col min="3" max="3" width="60.28515625" style="51" customWidth="1"/>
    <col min="4" max="4" width="20.28515625" style="65" customWidth="1"/>
    <col min="5" max="5" width="58.28515625" style="1" customWidth="1"/>
    <col min="6" max="16384" width="8.7109375" style="1"/>
  </cols>
  <sheetData>
    <row r="1" spans="1:70" s="109" customFormat="1" ht="41.65" customHeight="1">
      <c r="A1" s="138" t="s">
        <v>0</v>
      </c>
      <c r="B1" s="139"/>
      <c r="C1" s="139"/>
      <c r="D1" s="140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</row>
    <row r="2" spans="1:70" ht="30" customHeight="1" thickBot="1">
      <c r="A2" s="127" t="s">
        <v>1</v>
      </c>
      <c r="B2" s="128"/>
      <c r="C2" s="128"/>
      <c r="D2" s="141"/>
    </row>
    <row r="3" spans="1:70" ht="15" customHeight="1">
      <c r="A3" s="76" t="s">
        <v>3</v>
      </c>
      <c r="B3" s="78" t="s">
        <v>7</v>
      </c>
      <c r="C3" s="142" t="s">
        <v>8</v>
      </c>
      <c r="D3" s="143"/>
    </row>
    <row r="4" spans="1:70" ht="35.450000000000003" customHeight="1">
      <c r="A4" s="82" t="s">
        <v>10</v>
      </c>
      <c r="B4" s="105">
        <v>0</v>
      </c>
      <c r="C4" s="136" t="s">
        <v>156</v>
      </c>
      <c r="D4" s="137"/>
    </row>
    <row r="5" spans="1:70">
      <c r="A5" s="9" t="s">
        <v>11</v>
      </c>
      <c r="B5" s="83">
        <v>0</v>
      </c>
      <c r="C5" s="136" t="s">
        <v>157</v>
      </c>
      <c r="D5" s="137"/>
    </row>
    <row r="6" spans="1:70" ht="15" customHeight="1">
      <c r="A6" s="81" t="s">
        <v>14</v>
      </c>
      <c r="B6" s="83">
        <v>0</v>
      </c>
      <c r="C6" s="144" t="s">
        <v>158</v>
      </c>
      <c r="D6" s="145"/>
    </row>
    <row r="7" spans="1:70" ht="15" customHeight="1">
      <c r="A7" s="9" t="s">
        <v>17</v>
      </c>
      <c r="B7" s="83">
        <v>0</v>
      </c>
      <c r="C7" s="146" t="s">
        <v>159</v>
      </c>
      <c r="D7" s="147"/>
    </row>
    <row r="8" spans="1:70" ht="15" customHeight="1">
      <c r="A8" s="9" t="s">
        <v>19</v>
      </c>
      <c r="B8" s="83">
        <v>0</v>
      </c>
      <c r="C8" s="146" t="s">
        <v>160</v>
      </c>
      <c r="D8" s="147"/>
    </row>
    <row r="9" spans="1:70" ht="15" customHeight="1">
      <c r="A9" s="9" t="s">
        <v>21</v>
      </c>
      <c r="B9" s="83">
        <v>0</v>
      </c>
      <c r="C9" s="120" t="s">
        <v>161</v>
      </c>
      <c r="D9" s="121"/>
    </row>
    <row r="10" spans="1:70" ht="15" customHeight="1">
      <c r="A10" s="9" t="s">
        <v>23</v>
      </c>
      <c r="B10" s="83">
        <v>0</v>
      </c>
      <c r="C10" s="120" t="s">
        <v>24</v>
      </c>
      <c r="D10" s="121"/>
    </row>
    <row r="11" spans="1:70" ht="29.25" customHeight="1" thickBot="1">
      <c r="A11" s="48" t="s">
        <v>25</v>
      </c>
      <c r="B11" s="107">
        <v>0</v>
      </c>
      <c r="C11" s="134" t="s">
        <v>162</v>
      </c>
      <c r="D11" s="135"/>
    </row>
    <row r="12" spans="1:70" s="51" customFormat="1" ht="15" customHeight="1">
      <c r="A12" s="110" t="s">
        <v>27</v>
      </c>
      <c r="B12" s="111"/>
      <c r="C12" s="112"/>
      <c r="D12" s="113" t="s">
        <v>9</v>
      </c>
      <c r="E12" s="1"/>
    </row>
    <row r="13" spans="1:70" ht="31.5" customHeight="1">
      <c r="A13" s="9" t="s">
        <v>29</v>
      </c>
      <c r="B13" s="6"/>
      <c r="C13" s="114"/>
      <c r="D13" s="63">
        <f>'HPTC Calculator'!G13</f>
        <v>0</v>
      </c>
    </row>
    <row r="14" spans="1:70" ht="15" customHeight="1">
      <c r="A14" s="9" t="s">
        <v>32</v>
      </c>
      <c r="B14" s="6"/>
      <c r="C14" s="43"/>
      <c r="D14" s="63">
        <f>'HPTC Calculator'!G14</f>
        <v>0</v>
      </c>
    </row>
    <row r="15" spans="1:70" ht="15" customHeight="1">
      <c r="A15" s="9" t="s">
        <v>34</v>
      </c>
      <c r="B15" s="6"/>
      <c r="C15" s="43"/>
      <c r="D15" s="63">
        <f>'HPTC Calculator'!G15</f>
        <v>0</v>
      </c>
    </row>
    <row r="16" spans="1:70" ht="15" customHeight="1">
      <c r="A16" s="9" t="s">
        <v>35</v>
      </c>
      <c r="B16" s="6"/>
      <c r="C16" s="43"/>
      <c r="D16" s="63">
        <f>'HPTC Calculator'!G16</f>
        <v>0</v>
      </c>
    </row>
    <row r="17" spans="1:4" ht="30.6" customHeight="1">
      <c r="A17" s="9" t="s">
        <v>38</v>
      </c>
      <c r="B17" s="41">
        <v>0</v>
      </c>
      <c r="C17" s="87" t="s">
        <v>163</v>
      </c>
      <c r="D17" s="63">
        <f>'HPTC Calculator'!G17</f>
        <v>0</v>
      </c>
    </row>
    <row r="18" spans="1:4" ht="20.100000000000001" customHeight="1">
      <c r="A18" s="75" t="s">
        <v>41</v>
      </c>
      <c r="B18" s="100"/>
      <c r="C18" s="43"/>
      <c r="D18" s="63">
        <f>'HPTC Calculator'!G18</f>
        <v>0</v>
      </c>
    </row>
    <row r="19" spans="1:4" ht="14.45" thickBot="1">
      <c r="A19" s="12"/>
      <c r="B19" s="18"/>
      <c r="C19" s="119" t="s">
        <v>45</v>
      </c>
      <c r="D19" s="63">
        <f>'HPTC Calculator'!G19</f>
        <v>0</v>
      </c>
    </row>
    <row r="20" spans="1:4">
      <c r="A20" s="110" t="s">
        <v>46</v>
      </c>
      <c r="B20" s="115"/>
      <c r="C20" s="88"/>
      <c r="D20" s="113"/>
    </row>
    <row r="21" spans="1:4">
      <c r="A21" s="5" t="s">
        <v>47</v>
      </c>
      <c r="B21" s="30"/>
      <c r="C21" s="43"/>
      <c r="D21" s="63">
        <f>'HPTC Calculator'!G21</f>
        <v>0</v>
      </c>
    </row>
    <row r="22" spans="1:4">
      <c r="A22" s="5" t="s">
        <v>49</v>
      </c>
      <c r="B22" s="30"/>
      <c r="C22" s="43"/>
      <c r="D22" s="63">
        <f>'HPTC Calculator'!G22</f>
        <v>0</v>
      </c>
    </row>
    <row r="23" spans="1:4" ht="25.15" customHeight="1">
      <c r="A23" s="5" t="s">
        <v>51</v>
      </c>
      <c r="B23" s="30"/>
      <c r="C23" s="43"/>
      <c r="D23" s="63">
        <f>'HPTC Calculator'!G23</f>
        <v>0</v>
      </c>
    </row>
    <row r="24" spans="1:4" ht="15" customHeight="1">
      <c r="A24" s="5" t="s">
        <v>52</v>
      </c>
      <c r="B24" s="59">
        <v>0</v>
      </c>
      <c r="C24" s="60" t="s">
        <v>164</v>
      </c>
      <c r="D24" s="63">
        <f>'HPTC Calculator'!G24</f>
        <v>0</v>
      </c>
    </row>
    <row r="25" spans="1:4" ht="60" customHeight="1">
      <c r="A25" s="5" t="s">
        <v>38</v>
      </c>
      <c r="B25" s="59">
        <v>0</v>
      </c>
      <c r="C25" s="89" t="s">
        <v>165</v>
      </c>
      <c r="D25" s="63">
        <f>'HPTC Calculator'!G25</f>
        <v>0</v>
      </c>
    </row>
    <row r="26" spans="1:4" ht="20.100000000000001" customHeight="1">
      <c r="A26" s="5" t="s">
        <v>41</v>
      </c>
      <c r="B26" s="30"/>
      <c r="C26" s="43"/>
      <c r="D26" s="63">
        <f>'HPTC Calculator'!G26</f>
        <v>0</v>
      </c>
    </row>
    <row r="27" spans="1:4" ht="14.45" thickBot="1">
      <c r="A27" s="12"/>
      <c r="B27" s="18"/>
      <c r="C27" s="119" t="s">
        <v>45</v>
      </c>
      <c r="D27" s="63">
        <f>'HPTC Calculator'!G27</f>
        <v>0</v>
      </c>
    </row>
    <row r="28" spans="1:4">
      <c r="A28" s="110" t="s">
        <v>58</v>
      </c>
      <c r="B28" s="116"/>
      <c r="C28" s="88"/>
      <c r="D28" s="113"/>
    </row>
    <row r="29" spans="1:4" ht="24.95">
      <c r="A29" s="5" t="s">
        <v>59</v>
      </c>
      <c r="B29" s="59">
        <v>0</v>
      </c>
      <c r="C29" s="89" t="s">
        <v>166</v>
      </c>
      <c r="D29" s="63">
        <f>'HPTC Calculator'!G29</f>
        <v>0</v>
      </c>
    </row>
    <row r="30" spans="1:4" ht="18" customHeight="1">
      <c r="A30" s="5" t="s">
        <v>62</v>
      </c>
      <c r="B30" s="30"/>
      <c r="C30" s="43"/>
      <c r="D30" s="63">
        <f>'HPTC Calculator'!G30</f>
        <v>0</v>
      </c>
    </row>
    <row r="31" spans="1:4" ht="20.100000000000001" customHeight="1">
      <c r="A31" s="5" t="s">
        <v>38</v>
      </c>
      <c r="B31" s="39">
        <v>0</v>
      </c>
      <c r="C31" s="89" t="s">
        <v>167</v>
      </c>
      <c r="D31" s="63">
        <f>'HPTC Calculator'!G31</f>
        <v>0</v>
      </c>
    </row>
    <row r="32" spans="1:4" ht="14.45" thickBot="1">
      <c r="A32" s="12"/>
      <c r="B32" s="18"/>
      <c r="C32" s="119" t="s">
        <v>45</v>
      </c>
      <c r="D32" s="63">
        <f>'HPTC Calculator'!G32</f>
        <v>0</v>
      </c>
    </row>
    <row r="33" spans="1:4">
      <c r="A33" s="110" t="s">
        <v>67</v>
      </c>
      <c r="B33" s="116"/>
      <c r="C33" s="88"/>
      <c r="D33" s="113"/>
    </row>
    <row r="34" spans="1:4">
      <c r="A34" s="5" t="s">
        <v>168</v>
      </c>
      <c r="B34" s="30"/>
      <c r="C34" s="43"/>
      <c r="D34" s="63">
        <f>'HPTC Calculator'!G34</f>
        <v>0</v>
      </c>
    </row>
    <row r="35" spans="1:4" ht="34.15" customHeight="1">
      <c r="A35" s="44" t="s">
        <v>38</v>
      </c>
      <c r="B35" s="39">
        <v>0</v>
      </c>
      <c r="C35" s="89" t="s">
        <v>169</v>
      </c>
      <c r="D35" s="63">
        <f>'HPTC Calculator'!G35</f>
        <v>0</v>
      </c>
    </row>
    <row r="36" spans="1:4" ht="20.100000000000001" customHeight="1">
      <c r="A36" s="5" t="s">
        <v>41</v>
      </c>
      <c r="B36" s="30"/>
      <c r="C36" s="43"/>
      <c r="D36" s="63">
        <f>'HPTC Calculator'!G36</f>
        <v>0</v>
      </c>
    </row>
    <row r="37" spans="1:4" ht="14.45" thickBot="1">
      <c r="A37" s="12"/>
      <c r="B37" s="18"/>
      <c r="C37" s="119" t="s">
        <v>45</v>
      </c>
      <c r="D37" s="63">
        <f>'HPTC Calculator'!G37</f>
        <v>0</v>
      </c>
    </row>
    <row r="38" spans="1:4">
      <c r="A38" s="110" t="s">
        <v>74</v>
      </c>
      <c r="B38" s="116"/>
      <c r="C38" s="88"/>
      <c r="D38" s="113"/>
    </row>
    <row r="39" spans="1:4" ht="68.099999999999994" customHeight="1">
      <c r="A39" s="10" t="s">
        <v>38</v>
      </c>
      <c r="B39" s="38">
        <v>0</v>
      </c>
      <c r="C39" s="90" t="s">
        <v>170</v>
      </c>
      <c r="D39" s="69">
        <f>'HPTC Calculator'!G39</f>
        <v>0</v>
      </c>
    </row>
    <row r="40" spans="1:4" ht="26.1">
      <c r="A40" s="10" t="s">
        <v>76</v>
      </c>
      <c r="B40" s="61"/>
      <c r="C40" s="108" t="s">
        <v>77</v>
      </c>
      <c r="D40" s="69">
        <f>'HPTC Calculator'!G40</f>
        <v>0</v>
      </c>
    </row>
    <row r="41" spans="1:4" ht="26.1">
      <c r="A41" s="5" t="s">
        <v>78</v>
      </c>
      <c r="B41" s="97"/>
      <c r="C41" s="108" t="s">
        <v>79</v>
      </c>
      <c r="D41" s="69">
        <f>'HPTC Calculator'!G41</f>
        <v>0</v>
      </c>
    </row>
    <row r="42" spans="1:4" ht="14.45" thickBot="1">
      <c r="A42" s="12"/>
      <c r="B42" s="18"/>
      <c r="C42" s="119" t="s">
        <v>45</v>
      </c>
      <c r="D42" s="69">
        <f>'HPTC Calculator'!G42</f>
        <v>0</v>
      </c>
    </row>
    <row r="43" spans="1:4">
      <c r="A43" s="110" t="s">
        <v>80</v>
      </c>
      <c r="B43" s="116"/>
      <c r="C43" s="88"/>
      <c r="D43" s="113"/>
    </row>
    <row r="44" spans="1:4">
      <c r="A44" s="5" t="s">
        <v>82</v>
      </c>
      <c r="B44" s="39">
        <v>0</v>
      </c>
      <c r="C44" s="87" t="s">
        <v>84</v>
      </c>
      <c r="D44" s="63">
        <f>'HPTC Calculator'!G44</f>
        <v>0</v>
      </c>
    </row>
    <row r="45" spans="1:4" ht="19.149999999999999" customHeight="1">
      <c r="A45" s="5" t="s">
        <v>85</v>
      </c>
      <c r="B45" s="39">
        <v>0</v>
      </c>
      <c r="C45" s="87" t="s">
        <v>87</v>
      </c>
      <c r="D45" s="63">
        <f>'HPTC Calculator'!G45</f>
        <v>0</v>
      </c>
    </row>
    <row r="46" spans="1:4" ht="19.149999999999999" customHeight="1" thickBot="1">
      <c r="A46" s="25" t="s">
        <v>88</v>
      </c>
      <c r="B46" s="39">
        <v>0</v>
      </c>
      <c r="C46" s="87" t="s">
        <v>90</v>
      </c>
      <c r="D46" s="63">
        <f>'HPTC Calculator'!G46</f>
        <v>0</v>
      </c>
    </row>
    <row r="47" spans="1:4">
      <c r="A47" s="110" t="s">
        <v>92</v>
      </c>
      <c r="B47" s="116"/>
      <c r="C47" s="88"/>
      <c r="D47" s="113"/>
    </row>
    <row r="48" spans="1:4">
      <c r="A48" s="85" t="s">
        <v>94</v>
      </c>
      <c r="B48" s="50"/>
      <c r="C48" s="43" t="s">
        <v>31</v>
      </c>
      <c r="D48" s="63">
        <f>'HPTC Calculator'!G49</f>
        <v>0</v>
      </c>
    </row>
    <row r="49" spans="1:4" ht="31.15" customHeight="1">
      <c r="A49" s="85" t="s">
        <v>96</v>
      </c>
      <c r="B49" s="50"/>
      <c r="C49" s="43" t="s">
        <v>31</v>
      </c>
      <c r="D49" s="63">
        <f>'HPTC Calculator'!G50</f>
        <v>0</v>
      </c>
    </row>
    <row r="50" spans="1:4" ht="15" customHeight="1">
      <c r="A50" s="85" t="s">
        <v>98</v>
      </c>
      <c r="B50" s="50"/>
      <c r="C50" s="43" t="s">
        <v>31</v>
      </c>
      <c r="D50" s="63">
        <f>'HPTC Calculator'!G51</f>
        <v>0</v>
      </c>
    </row>
    <row r="51" spans="1:4" ht="15" customHeight="1" thickBot="1">
      <c r="A51" s="26" t="s">
        <v>100</v>
      </c>
      <c r="B51" s="40"/>
      <c r="C51" s="43" t="s">
        <v>31</v>
      </c>
      <c r="D51" s="63">
        <f>'HPTC Calculator'!G52</f>
        <v>0</v>
      </c>
    </row>
    <row r="52" spans="1:4">
      <c r="A52" s="110" t="s">
        <v>101</v>
      </c>
      <c r="B52" s="116"/>
      <c r="C52" s="88"/>
      <c r="D52" s="113"/>
    </row>
    <row r="53" spans="1:4">
      <c r="A53" s="9" t="s">
        <v>102</v>
      </c>
      <c r="B53" s="39">
        <v>0</v>
      </c>
      <c r="C53" s="60" t="s">
        <v>171</v>
      </c>
      <c r="D53" s="70">
        <f>'HPTC Calculator'!G55</f>
        <v>0</v>
      </c>
    </row>
    <row r="54" spans="1:4">
      <c r="A54" s="9" t="s">
        <v>105</v>
      </c>
      <c r="B54" s="39">
        <v>0</v>
      </c>
      <c r="C54" s="84" t="s">
        <v>107</v>
      </c>
      <c r="D54" s="70">
        <f>'HPTC Calculator'!G56</f>
        <v>0</v>
      </c>
    </row>
    <row r="55" spans="1:4">
      <c r="A55" s="9" t="s">
        <v>108</v>
      </c>
      <c r="B55" s="39">
        <v>0</v>
      </c>
      <c r="C55" s="84" t="s">
        <v>110</v>
      </c>
      <c r="D55" s="70">
        <f>'HPTC Calculator'!G57</f>
        <v>0</v>
      </c>
    </row>
    <row r="56" spans="1:4">
      <c r="A56" s="5" t="s">
        <v>111</v>
      </c>
      <c r="B56" s="39">
        <v>0</v>
      </c>
      <c r="C56" s="84" t="s">
        <v>113</v>
      </c>
      <c r="D56" s="70">
        <f>'HPTC Calculator'!G58</f>
        <v>0</v>
      </c>
    </row>
    <row r="57" spans="1:4">
      <c r="A57" s="5" t="s">
        <v>114</v>
      </c>
      <c r="B57" s="39">
        <v>0</v>
      </c>
      <c r="C57" s="84" t="s">
        <v>113</v>
      </c>
      <c r="D57" s="70">
        <f>'HPTC Calculator'!G59</f>
        <v>0</v>
      </c>
    </row>
    <row r="58" spans="1:4">
      <c r="A58" s="5" t="s">
        <v>116</v>
      </c>
      <c r="B58" s="39">
        <v>0</v>
      </c>
      <c r="C58" s="84" t="s">
        <v>113</v>
      </c>
      <c r="D58" s="70">
        <f>'HPTC Calculator'!G60</f>
        <v>0</v>
      </c>
    </row>
    <row r="59" spans="1:4" ht="14.45" thickBot="1">
      <c r="A59" s="8" t="s">
        <v>118</v>
      </c>
      <c r="B59" s="49"/>
      <c r="C59" s="43" t="s">
        <v>31</v>
      </c>
      <c r="D59" s="70">
        <f>'HPTC Calculator'!G61</f>
        <v>0</v>
      </c>
    </row>
    <row r="60" spans="1:4">
      <c r="A60" s="110" t="s">
        <v>120</v>
      </c>
      <c r="B60" s="116"/>
      <c r="C60" s="88"/>
      <c r="D60" s="113"/>
    </row>
    <row r="61" spans="1:4" ht="27" customHeight="1">
      <c r="A61" s="5" t="s">
        <v>121</v>
      </c>
      <c r="B61" s="35"/>
      <c r="C61" s="108" t="s">
        <v>172</v>
      </c>
      <c r="D61" s="63">
        <f>'HPTC Calculator'!G63</f>
        <v>0</v>
      </c>
    </row>
    <row r="62" spans="1:4" ht="34.15" customHeight="1">
      <c r="A62" s="5" t="s">
        <v>123</v>
      </c>
      <c r="B62" s="39">
        <v>0</v>
      </c>
      <c r="C62" s="89" t="s">
        <v>173</v>
      </c>
      <c r="D62" s="63">
        <f>'HPTC Calculator'!G64</f>
        <v>0</v>
      </c>
    </row>
    <row r="63" spans="1:4" ht="37.15" customHeight="1">
      <c r="A63" s="5" t="s">
        <v>126</v>
      </c>
      <c r="B63" s="39">
        <v>0</v>
      </c>
      <c r="C63" s="89" t="s">
        <v>174</v>
      </c>
      <c r="D63" s="63">
        <f>'HPTC Calculator'!G65</f>
        <v>0</v>
      </c>
    </row>
    <row r="64" spans="1:4" ht="54" customHeight="1">
      <c r="A64" s="5" t="s">
        <v>128</v>
      </c>
      <c r="B64" s="39">
        <v>0</v>
      </c>
      <c r="C64" s="87" t="s">
        <v>175</v>
      </c>
      <c r="D64" s="63">
        <f>'HPTC Calculator'!G66</f>
        <v>0</v>
      </c>
    </row>
    <row r="65" spans="1:4" ht="73.5" customHeight="1">
      <c r="A65" s="5" t="s">
        <v>131</v>
      </c>
      <c r="B65" s="95"/>
      <c r="C65" s="89" t="s">
        <v>176</v>
      </c>
      <c r="D65" s="63">
        <f>'HPTC Calculator'!G67</f>
        <v>0</v>
      </c>
    </row>
    <row r="66" spans="1:4" ht="20.100000000000001" customHeight="1">
      <c r="A66" s="5" t="s">
        <v>134</v>
      </c>
      <c r="B66" s="36"/>
      <c r="C66" s="43"/>
      <c r="D66" s="63">
        <f>'HPTC Calculator'!G68</f>
        <v>0</v>
      </c>
    </row>
    <row r="67" spans="1:4">
      <c r="A67" s="5" t="s">
        <v>136</v>
      </c>
      <c r="B67" s="33"/>
      <c r="C67" s="43"/>
      <c r="D67" s="63">
        <f>'HPTC Calculator'!G69</f>
        <v>0</v>
      </c>
    </row>
    <row r="68" spans="1:4" ht="28.5" customHeight="1">
      <c r="A68" s="9" t="s">
        <v>138</v>
      </c>
      <c r="B68" s="33"/>
      <c r="C68" s="43"/>
      <c r="D68" s="63">
        <f>'HPTC Calculator'!G70</f>
        <v>0</v>
      </c>
    </row>
    <row r="69" spans="1:4">
      <c r="A69" s="9" t="s">
        <v>140</v>
      </c>
      <c r="B69" s="33"/>
      <c r="C69" s="43"/>
      <c r="D69" s="63">
        <f>'HPTC Calculator'!G71</f>
        <v>0</v>
      </c>
    </row>
    <row r="70" spans="1:4" ht="17.649999999999999" customHeight="1">
      <c r="A70" s="5" t="s">
        <v>142</v>
      </c>
      <c r="B70" s="35"/>
      <c r="C70" s="43"/>
      <c r="D70" s="63">
        <f>'HPTC Calculator'!G72</f>
        <v>0</v>
      </c>
    </row>
    <row r="71" spans="1:4" ht="29.25" customHeight="1">
      <c r="A71" s="9" t="s">
        <v>144</v>
      </c>
      <c r="B71" s="33"/>
      <c r="C71" s="43"/>
      <c r="D71" s="63">
        <f>'HPTC Calculator'!G73</f>
        <v>0</v>
      </c>
    </row>
    <row r="72" spans="1:4" ht="20.65" customHeight="1">
      <c r="A72" s="5" t="s">
        <v>146</v>
      </c>
      <c r="B72" s="33"/>
      <c r="C72" s="43"/>
      <c r="D72" s="63">
        <f>'HPTC Calculator'!G74</f>
        <v>0</v>
      </c>
    </row>
    <row r="73" spans="1:4" ht="20.65" customHeight="1" thickBot="1">
      <c r="A73" s="11" t="s">
        <v>148</v>
      </c>
      <c r="B73" s="47"/>
      <c r="C73" s="74"/>
      <c r="D73" s="63">
        <f>'HPTC Calculator'!G75</f>
        <v>0</v>
      </c>
    </row>
    <row r="74" spans="1:4">
      <c r="A74" s="12" t="s">
        <v>43</v>
      </c>
      <c r="B74" s="18"/>
      <c r="C74" s="66" t="s">
        <v>177</v>
      </c>
      <c r="D74" s="70">
        <f>'HPTC Calculator'!G76</f>
        <v>0</v>
      </c>
    </row>
    <row r="75" spans="1:4" ht="30.75" customHeight="1">
      <c r="A75" s="12" t="s">
        <v>150</v>
      </c>
      <c r="B75" s="3"/>
      <c r="C75" s="66" t="s">
        <v>152</v>
      </c>
      <c r="D75" s="70">
        <f>SUM(D13:D73)</f>
        <v>0</v>
      </c>
    </row>
    <row r="76" spans="1:4" ht="14.45" thickBot="1">
      <c r="A76" s="14" t="s">
        <v>153</v>
      </c>
      <c r="B76" s="19"/>
      <c r="C76" s="92" t="s">
        <v>153</v>
      </c>
      <c r="D76" s="69">
        <f>D75*0.45</f>
        <v>0</v>
      </c>
    </row>
    <row r="77" spans="1:4" ht="14.45" thickBot="1">
      <c r="A77" s="16"/>
      <c r="B77" s="91"/>
      <c r="C77" s="117" t="s">
        <v>155</v>
      </c>
      <c r="D77" s="118">
        <f>SUM(D75:D76)</f>
        <v>0</v>
      </c>
    </row>
    <row r="80" spans="1:4">
      <c r="B80" s="54"/>
      <c r="D80" s="64"/>
    </row>
  </sheetData>
  <mergeCells count="11">
    <mergeCell ref="A1:D1"/>
    <mergeCell ref="A2:D2"/>
    <mergeCell ref="C3:D3"/>
    <mergeCell ref="C4:D4"/>
    <mergeCell ref="C10:D10"/>
    <mergeCell ref="C11:D11"/>
    <mergeCell ref="C5:D5"/>
    <mergeCell ref="C6:D6"/>
    <mergeCell ref="C7:D7"/>
    <mergeCell ref="C8:D8"/>
    <mergeCell ref="C9:D9"/>
  </mergeCells>
  <pageMargins left="0.25" right="0.25" top="0.75" bottom="0.75" header="0.3" footer="0.3"/>
  <pageSetup scale="29" orientation="landscape" verticalDpi="597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be31ac7-1dd1-49e4-aa54-a90ec198659d">
      <Terms xmlns="http://schemas.microsoft.com/office/infopath/2007/PartnerControls"/>
    </lcf76f155ced4ddcb4097134ff3c332f>
    <TaxCatchAll xmlns="74ea459b-7bbf-43af-834e-d16fbea12f7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25F30892A27B4B9699AE378374313D" ma:contentTypeVersion="18" ma:contentTypeDescription="Create a new document." ma:contentTypeScope="" ma:versionID="0b786ca2e1f3b873d69de62b446958e6">
  <xsd:schema xmlns:xsd="http://www.w3.org/2001/XMLSchema" xmlns:xs="http://www.w3.org/2001/XMLSchema" xmlns:p="http://schemas.microsoft.com/office/2006/metadata/properties" xmlns:ns2="8be31ac7-1dd1-49e4-aa54-a90ec198659d" xmlns:ns3="17c6c169-4f4b-44f1-a9d1-89b809d8249a" xmlns:ns4="74ea459b-7bbf-43af-834e-d16fbea12f70" targetNamespace="http://schemas.microsoft.com/office/2006/metadata/properties" ma:root="true" ma:fieldsID="ddd83b458c7bb370bf09bf767deecc1d" ns2:_="" ns3:_="" ns4:_="">
    <xsd:import namespace="8be31ac7-1dd1-49e4-aa54-a90ec198659d"/>
    <xsd:import namespace="17c6c169-4f4b-44f1-a9d1-89b809d8249a"/>
    <xsd:import namespace="74ea459b-7bbf-43af-834e-d16fbea12f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4:TaxCatchAll" minOccurs="0"/>
                <xsd:element ref="ns2:MediaServiceSearchProperties" minOccurs="0"/>
                <xsd:element ref="ns2:MediaLengthInSeconds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1ac7-1dd1-49e4-aa54-a90ec19865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d29a467-ccb3-40ae-b171-e388b769af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6c169-4f4b-44f1-a9d1-89b809d8249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ea459b-7bbf-43af-834e-d16fbea12f70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98ed1e3-c2c6-43fd-9f2b-ef3ddc796eaa}" ma:internalName="TaxCatchAll" ma:showField="CatchAllData" ma:web="17c6c169-4f4b-44f1-a9d1-89b809d824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A82551D-BA80-4EDE-AB3E-9D07107EC03A}"/>
</file>

<file path=customXml/itemProps2.xml><?xml version="1.0" encoding="utf-8"?>
<ds:datastoreItem xmlns:ds="http://schemas.openxmlformats.org/officeDocument/2006/customXml" ds:itemID="{6E98D0D9-DBE0-4D9B-A6EA-26801222E73F}"/>
</file>

<file path=customXml/itemProps3.xml><?xml version="1.0" encoding="utf-8"?>
<ds:datastoreItem xmlns:ds="http://schemas.openxmlformats.org/officeDocument/2006/customXml" ds:itemID="{326A0800-7377-434F-B3B7-86E15C0AA500}"/>
</file>

<file path=docMetadata/LabelInfo.xml><?xml version="1.0" encoding="utf-8"?>
<clbl:labelList xmlns:clbl="http://schemas.microsoft.com/office/2020/mipLabelMetadata">
  <clbl:label id="{51d9dc18-15ea-424b-b24d-55ab4d4e7519}" enabled="1" method="Privileged" siteId="{d5fe813e-0caa-432a-b2ac-d555aa91bd1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U.S. Department of Defense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Painter, Jeffrey T MAJ USSOCOM SOCOM J7 XO</dc:creator>
  <cp:keywords/>
  <dc:description/>
  <cp:lastModifiedBy>Martini, Alycia [USA]</cp:lastModifiedBy>
  <cp:revision/>
  <dcterms:created xsi:type="dcterms:W3CDTF">2018-08-22T15:21:30Z</dcterms:created>
  <dcterms:modified xsi:type="dcterms:W3CDTF">2025-05-07T18:02:46Z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0x0101000625F30892A27B4B9699AE378374313D</vt:lpwstr>
  </property>
  <property fmtid="{D5CDD505-2E9C-101B-9397-08002B2CF9AE}" pid="3" name="MediaServiceImageTags">
    <vt:lpwstr/>
  </property>
</Properties>
</file>